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JIMdrive\ORCprotected\ALDA\"/>
    </mc:Choice>
  </mc:AlternateContent>
  <xr:revisionPtr revIDLastSave="0" documentId="13_ncr:1_{C8032341-BB1A-427F-BFAB-BB6F8B5B9F5A}" xr6:coauthVersionLast="47" xr6:coauthVersionMax="47" xr10:uidLastSave="{00000000-0000-0000-0000-000000000000}"/>
  <workbookProtection workbookAlgorithmName="SHA-512" workbookHashValue="ri6WxNK69HIzM2pGqVyhGvCPNOx+QpozDmr8HdljhY+ERCL2X/+Z79raQbcrUSnrzw6YQchsFLkrMsttUHYCEg==" workbookSaltValue="WrdfitcKpZsQfTEBe0LjGg==" workbookSpinCount="100000" lockStructure="1"/>
  <bookViews>
    <workbookView xWindow="31416" yWindow="1416" windowWidth="21120" windowHeight="11916" xr2:uid="{97EAD05D-DF14-449C-8BCA-BAF54447BED1}"/>
  </bookViews>
  <sheets>
    <sheet name="Charts" sheetId="2" r:id="rId1"/>
    <sheet name="Tables" sheetId="1" r:id="rId2"/>
  </sheets>
  <definedNames>
    <definedName name="_xlnm.Print_Area" localSheetId="0">Charts!$B$1:$P$39</definedName>
    <definedName name="_xlnm.Print_Area" localSheetId="1">Tables!$C$7:$M$57,Tables!$O$7:$Z$57,Tables!$AC$7:$AI$57</definedName>
  </definedNames>
  <calcPr calcId="181029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K2" i="1" l="1"/>
  <c r="E38" i="2" l="1"/>
  <c r="AD2" i="1"/>
  <c r="AF3" i="1" l="1"/>
  <c r="Z3" i="1"/>
  <c r="AO3" i="1"/>
  <c r="AQ3" i="1" s="1"/>
  <c r="AQ12" i="1" s="1"/>
  <c r="AO12" i="1" l="1"/>
  <c r="AP3" i="1"/>
  <c r="AP12" i="1" s="1"/>
  <c r="B2" i="1"/>
  <c r="C12" i="1" s="1"/>
  <c r="C13" i="1" s="1"/>
  <c r="BA12" i="1"/>
  <c r="AZ13" i="1"/>
  <c r="BA13" i="1" s="1"/>
  <c r="BA17" i="1"/>
  <c r="AZ18" i="1"/>
  <c r="AZ19" i="1" s="1"/>
  <c r="B4" i="1"/>
  <c r="A4" i="1"/>
  <c r="E2" i="1"/>
  <c r="C14" i="1" l="1"/>
  <c r="X1" i="1"/>
  <c r="AR12" i="1"/>
  <c r="A2" i="1"/>
  <c r="AZ14" i="1"/>
  <c r="BA19" i="1"/>
  <c r="AZ20" i="1"/>
  <c r="BA18" i="1"/>
  <c r="E4" i="1"/>
  <c r="T3" i="1"/>
  <c r="U13" i="1" s="1"/>
  <c r="U1" i="1"/>
  <c r="D2" i="1"/>
  <c r="C2" i="1"/>
  <c r="C15" i="1" l="1"/>
  <c r="U14" i="1"/>
  <c r="C16" i="1"/>
  <c r="U15" i="1"/>
  <c r="AQ13" i="1"/>
  <c r="AQ14" i="1" s="1"/>
  <c r="AQ15" i="1" s="1"/>
  <c r="AQ16" i="1" s="1"/>
  <c r="AQ17" i="1" s="1"/>
  <c r="AQ18" i="1" s="1"/>
  <c r="AQ19" i="1" s="1"/>
  <c r="AQ20" i="1" s="1"/>
  <c r="AQ21" i="1" s="1"/>
  <c r="AQ22" i="1" s="1"/>
  <c r="AQ23" i="1" s="1"/>
  <c r="AQ24" i="1" s="1"/>
  <c r="AQ25" i="1" s="1"/>
  <c r="AQ26" i="1" s="1"/>
  <c r="AQ27" i="1" s="1"/>
  <c r="AQ28" i="1" s="1"/>
  <c r="AQ29" i="1" s="1"/>
  <c r="AQ30" i="1" s="1"/>
  <c r="W2" i="1"/>
  <c r="AO13" i="1"/>
  <c r="AO14" i="1" s="1"/>
  <c r="AO15" i="1" s="1"/>
  <c r="AO16" i="1" s="1"/>
  <c r="AP13" i="1"/>
  <c r="H2" i="1"/>
  <c r="U12" i="1"/>
  <c r="AC12" i="1"/>
  <c r="O12" i="1"/>
  <c r="F12" i="1"/>
  <c r="H12" i="1"/>
  <c r="S12" i="1" s="1"/>
  <c r="D4" i="1"/>
  <c r="D12" i="1" s="1"/>
  <c r="D13" i="1" s="1"/>
  <c r="D14" i="1" s="1"/>
  <c r="D15" i="1" s="1"/>
  <c r="AZ4" i="1"/>
  <c r="AZ15" i="1"/>
  <c r="BA14" i="1"/>
  <c r="AZ21" i="1"/>
  <c r="BA20" i="1"/>
  <c r="C17" i="1" l="1"/>
  <c r="U16" i="1"/>
  <c r="D16" i="1"/>
  <c r="D17" i="1" s="1"/>
  <c r="H13" i="1"/>
  <c r="AQ31" i="1"/>
  <c r="AP14" i="1"/>
  <c r="AO17" i="1"/>
  <c r="Q2" i="1"/>
  <c r="T12" i="1" s="1"/>
  <c r="AA12" i="1" s="1"/>
  <c r="P12" i="1"/>
  <c r="I12" i="1"/>
  <c r="J12" i="1" s="1"/>
  <c r="AC13" i="1"/>
  <c r="AR13" i="1" s="1"/>
  <c r="O13" i="1"/>
  <c r="G12" i="1"/>
  <c r="E12" i="1"/>
  <c r="AZ16" i="1"/>
  <c r="BA16" i="1" s="1"/>
  <c r="BA15" i="1"/>
  <c r="BA21" i="1"/>
  <c r="AZ22" i="1"/>
  <c r="S13" i="1" l="1"/>
  <c r="T13" i="1"/>
  <c r="AA13" i="1" s="1"/>
  <c r="C18" i="1"/>
  <c r="U17" i="1"/>
  <c r="AQ32" i="1"/>
  <c r="AP15" i="1"/>
  <c r="AC15" i="1"/>
  <c r="AR15" i="1" s="1"/>
  <c r="U2" i="1"/>
  <c r="Q12" i="1"/>
  <c r="AO18" i="1"/>
  <c r="L12" i="1"/>
  <c r="AK12" i="1" s="1"/>
  <c r="P13" i="1"/>
  <c r="O15" i="1"/>
  <c r="T15" i="1" s="1"/>
  <c r="AC14" i="1"/>
  <c r="AR14" i="1" s="1"/>
  <c r="O14" i="1"/>
  <c r="H14" i="1"/>
  <c r="S14" i="1" s="1"/>
  <c r="P14" i="1"/>
  <c r="BA22" i="1"/>
  <c r="AZ23" i="1"/>
  <c r="AZ24" i="1" s="1"/>
  <c r="AZ25" i="1" s="1"/>
  <c r="AZ26" i="1" s="1"/>
  <c r="AZ27" i="1" s="1"/>
  <c r="AZ28" i="1" s="1"/>
  <c r="AZ29" i="1" s="1"/>
  <c r="AZ30" i="1" s="1"/>
  <c r="AZ31" i="1" s="1"/>
  <c r="AZ32" i="1" s="1"/>
  <c r="K12" i="1"/>
  <c r="M12" i="1" s="1"/>
  <c r="F13" i="1" l="1"/>
  <c r="G13" i="1" s="1"/>
  <c r="V12" i="1"/>
  <c r="W12" i="1" s="1"/>
  <c r="Y12" i="1" s="1"/>
  <c r="Z12" i="1" s="1"/>
  <c r="AD12" i="1" s="1"/>
  <c r="AE12" i="1" s="1"/>
  <c r="T14" i="1"/>
  <c r="AA14" i="1" s="1"/>
  <c r="AA15" i="1" s="1"/>
  <c r="I13" i="1"/>
  <c r="J13" i="1" s="1"/>
  <c r="K13" i="1" s="1"/>
  <c r="M13" i="1" s="1"/>
  <c r="C19" i="1"/>
  <c r="U18" i="1"/>
  <c r="D18" i="1"/>
  <c r="H15" i="1"/>
  <c r="S15" i="1" s="1"/>
  <c r="AQ33" i="1"/>
  <c r="AP16" i="1"/>
  <c r="R12" i="1"/>
  <c r="AO19" i="1"/>
  <c r="AC16" i="1"/>
  <c r="O16" i="1"/>
  <c r="T16" i="1" s="1"/>
  <c r="AZ33" i="1"/>
  <c r="AZ34" i="1" s="1"/>
  <c r="AZ35" i="1" s="1"/>
  <c r="AZ36" i="1" s="1"/>
  <c r="AZ37" i="1" s="1"/>
  <c r="AZ38" i="1" s="1"/>
  <c r="AZ39" i="1" s="1"/>
  <c r="AZ40" i="1" s="1"/>
  <c r="AZ41" i="1" s="1"/>
  <c r="AZ42" i="1" s="1"/>
  <c r="AZ43" i="1" s="1"/>
  <c r="AZ44" i="1" s="1"/>
  <c r="AZ45" i="1" s="1"/>
  <c r="AZ46" i="1" s="1"/>
  <c r="AZ47" i="1" s="1"/>
  <c r="AZ48" i="1" s="1"/>
  <c r="AZ49" i="1" s="1"/>
  <c r="AZ50" i="1" s="1"/>
  <c r="AZ51" i="1" s="1"/>
  <c r="AZ52" i="1" s="1"/>
  <c r="BA4" i="1"/>
  <c r="H16" i="1"/>
  <c r="S16" i="1" s="1"/>
  <c r="E13" i="1" l="1"/>
  <c r="AR16" i="1"/>
  <c r="AA16" i="1"/>
  <c r="AF12" i="1"/>
  <c r="AG12" i="1" s="1"/>
  <c r="X12" i="1"/>
  <c r="AL12" i="1" s="1"/>
  <c r="L13" i="1"/>
  <c r="AK13" i="1" s="1"/>
  <c r="D19" i="1"/>
  <c r="C20" i="1"/>
  <c r="U19" i="1"/>
  <c r="AQ34" i="1"/>
  <c r="AP17" i="1"/>
  <c r="AO20" i="1"/>
  <c r="AC17" i="1"/>
  <c r="AR17" i="1" s="1"/>
  <c r="O17" i="1"/>
  <c r="T17" i="1" s="1"/>
  <c r="P16" i="1"/>
  <c r="P15" i="1"/>
  <c r="AH12" i="1"/>
  <c r="AI12" i="1" s="1"/>
  <c r="H17" i="1"/>
  <c r="S17" i="1" s="1"/>
  <c r="AA17" i="1" l="1"/>
  <c r="F14" i="1"/>
  <c r="E14" i="1" s="1"/>
  <c r="Q13" i="1"/>
  <c r="V13" i="1" s="1"/>
  <c r="W13" i="1" s="1"/>
  <c r="Y13" i="1" s="1"/>
  <c r="Z13" i="1" s="1"/>
  <c r="AF13" i="1" s="1"/>
  <c r="AG13" i="1" s="1"/>
  <c r="C21" i="1"/>
  <c r="U20" i="1"/>
  <c r="D20" i="1"/>
  <c r="G14" i="1"/>
  <c r="I14" i="1"/>
  <c r="J14" i="1" s="1"/>
  <c r="K14" i="1" s="1"/>
  <c r="M14" i="1" s="1"/>
  <c r="AQ35" i="1"/>
  <c r="AP18" i="1"/>
  <c r="AO21" i="1"/>
  <c r="P17" i="1"/>
  <c r="AC18" i="1"/>
  <c r="AR18" i="1" s="1"/>
  <c r="O18" i="1"/>
  <c r="T18" i="1" s="1"/>
  <c r="AA18" i="1" s="1"/>
  <c r="H18" i="1"/>
  <c r="S18" i="1" s="1"/>
  <c r="D21" i="1" l="1"/>
  <c r="R13" i="1"/>
  <c r="X13" i="1" s="1"/>
  <c r="AL13" i="1" s="1"/>
  <c r="L14" i="1"/>
  <c r="AK14" i="1" s="1"/>
  <c r="C22" i="1"/>
  <c r="U21" i="1"/>
  <c r="AD13" i="1"/>
  <c r="AE13" i="1" s="1"/>
  <c r="AQ36" i="1"/>
  <c r="AP19" i="1"/>
  <c r="AO22" i="1"/>
  <c r="P18" i="1"/>
  <c r="AC19" i="1"/>
  <c r="AR19" i="1" s="1"/>
  <c r="O19" i="1"/>
  <c r="T19" i="1" s="1"/>
  <c r="AA19" i="1" s="1"/>
  <c r="H19" i="1"/>
  <c r="S19" i="1" s="1"/>
  <c r="F15" i="1" l="1"/>
  <c r="Q14" i="1"/>
  <c r="V14" i="1" s="1"/>
  <c r="W14" i="1" s="1"/>
  <c r="Y14" i="1" s="1"/>
  <c r="Z14" i="1" s="1"/>
  <c r="AH13" i="1"/>
  <c r="AI13" i="1" s="1"/>
  <c r="C23" i="1"/>
  <c r="U22" i="1"/>
  <c r="D22" i="1"/>
  <c r="G15" i="1"/>
  <c r="AQ37" i="1"/>
  <c r="AP20" i="1"/>
  <c r="AO23" i="1"/>
  <c r="P19" i="1"/>
  <c r="AC20" i="1"/>
  <c r="AR20" i="1" s="1"/>
  <c r="O20" i="1"/>
  <c r="T20" i="1" s="1"/>
  <c r="AA20" i="1" s="1"/>
  <c r="H20" i="1"/>
  <c r="S20" i="1" s="1"/>
  <c r="D23" i="1" l="1"/>
  <c r="R14" i="1"/>
  <c r="X14" i="1" s="1"/>
  <c r="AL14" i="1" s="1"/>
  <c r="AF14" i="1"/>
  <c r="AG14" i="1" s="1"/>
  <c r="AD14" i="1"/>
  <c r="AE14" i="1" s="1"/>
  <c r="I15" i="1"/>
  <c r="J15" i="1" s="1"/>
  <c r="L15" i="1" s="1"/>
  <c r="AK15" i="1" s="1"/>
  <c r="E15" i="1"/>
  <c r="C24" i="1"/>
  <c r="U23" i="1"/>
  <c r="AQ38" i="1"/>
  <c r="P20" i="1"/>
  <c r="AP21" i="1"/>
  <c r="AO24" i="1"/>
  <c r="O21" i="1"/>
  <c r="T21" i="1" s="1"/>
  <c r="AA21" i="1" s="1"/>
  <c r="P21" i="1"/>
  <c r="AC21" i="1"/>
  <c r="AR21" i="1" s="1"/>
  <c r="H21" i="1"/>
  <c r="S21" i="1" s="1"/>
  <c r="F16" i="1" l="1"/>
  <c r="I16" i="1" s="1"/>
  <c r="Q15" i="1"/>
  <c r="V15" i="1" s="1"/>
  <c r="W15" i="1" s="1"/>
  <c r="Y15" i="1" s="1"/>
  <c r="Z15" i="1" s="1"/>
  <c r="AH14" i="1"/>
  <c r="AI14" i="1" s="1"/>
  <c r="C25" i="1"/>
  <c r="U24" i="1"/>
  <c r="D24" i="1"/>
  <c r="AQ39" i="1"/>
  <c r="AP22" i="1"/>
  <c r="AO25" i="1"/>
  <c r="O22" i="1"/>
  <c r="T22" i="1" s="1"/>
  <c r="AA22" i="1" s="1"/>
  <c r="P22" i="1"/>
  <c r="AC22" i="1"/>
  <c r="AR22" i="1" s="1"/>
  <c r="H22" i="1"/>
  <c r="S22" i="1" s="1"/>
  <c r="K15" i="1"/>
  <c r="M15" i="1" s="1"/>
  <c r="R15" i="1" l="1"/>
  <c r="D25" i="1"/>
  <c r="X15" i="1"/>
  <c r="AL15" i="1" s="1"/>
  <c r="C26" i="1"/>
  <c r="U25" i="1"/>
  <c r="AF15" i="1"/>
  <c r="AG15" i="1" s="1"/>
  <c r="G16" i="1"/>
  <c r="J16" i="1"/>
  <c r="K16" i="1" s="1"/>
  <c r="M16" i="1" s="1"/>
  <c r="E16" i="1"/>
  <c r="AQ40" i="1"/>
  <c r="AP23" i="1"/>
  <c r="AO26" i="1"/>
  <c r="O23" i="1"/>
  <c r="T23" i="1" s="1"/>
  <c r="AA23" i="1" s="1"/>
  <c r="P23" i="1"/>
  <c r="AC23" i="1"/>
  <c r="AR23" i="1" s="1"/>
  <c r="AD15" i="1"/>
  <c r="AE15" i="1" s="1"/>
  <c r="H23" i="1"/>
  <c r="S23" i="1" s="1"/>
  <c r="Q16" i="1" l="1"/>
  <c r="R16" i="1" s="1"/>
  <c r="L16" i="1"/>
  <c r="AK16" i="1" s="1"/>
  <c r="C27" i="1"/>
  <c r="U26" i="1"/>
  <c r="D26" i="1"/>
  <c r="AQ41" i="1"/>
  <c r="AP24" i="1"/>
  <c r="AO27" i="1"/>
  <c r="O24" i="1"/>
  <c r="T24" i="1" s="1"/>
  <c r="AA24" i="1" s="1"/>
  <c r="P24" i="1"/>
  <c r="AC24" i="1"/>
  <c r="AR24" i="1" s="1"/>
  <c r="AH15" i="1"/>
  <c r="AI15" i="1" s="1"/>
  <c r="H24" i="1"/>
  <c r="S24" i="1" s="1"/>
  <c r="F17" i="1" l="1"/>
  <c r="D27" i="1"/>
  <c r="V16" i="1"/>
  <c r="W16" i="1" s="1"/>
  <c r="X16" i="1" s="1"/>
  <c r="AL16" i="1" s="1"/>
  <c r="C28" i="1"/>
  <c r="U27" i="1"/>
  <c r="G17" i="1"/>
  <c r="E17" i="1"/>
  <c r="AQ42" i="1"/>
  <c r="AP25" i="1"/>
  <c r="AO28" i="1"/>
  <c r="O25" i="1"/>
  <c r="T25" i="1" s="1"/>
  <c r="AA25" i="1" s="1"/>
  <c r="P25" i="1"/>
  <c r="AC25" i="1"/>
  <c r="AR25" i="1" s="1"/>
  <c r="H25" i="1"/>
  <c r="S25" i="1" s="1"/>
  <c r="Q17" i="1" l="1"/>
  <c r="V17" i="1" s="1"/>
  <c r="W17" i="1" s="1"/>
  <c r="Y17" i="1" s="1"/>
  <c r="Z17" i="1" s="1"/>
  <c r="Y16" i="1"/>
  <c r="Z16" i="1" s="1"/>
  <c r="AF16" i="1" s="1"/>
  <c r="AG16" i="1" s="1"/>
  <c r="I17" i="1"/>
  <c r="J17" i="1" s="1"/>
  <c r="L17" i="1" s="1"/>
  <c r="AK17" i="1" s="1"/>
  <c r="C29" i="1"/>
  <c r="U28" i="1"/>
  <c r="D28" i="1"/>
  <c r="R17" i="1"/>
  <c r="AQ43" i="1"/>
  <c r="AP26" i="1"/>
  <c r="AO29" i="1"/>
  <c r="O26" i="1"/>
  <c r="T26" i="1" s="1"/>
  <c r="AA26" i="1" s="1"/>
  <c r="P26" i="1"/>
  <c r="AC26" i="1"/>
  <c r="AR26" i="1" s="1"/>
  <c r="H26" i="1"/>
  <c r="S26" i="1" s="1"/>
  <c r="F18" i="1" l="1"/>
  <c r="D29" i="1"/>
  <c r="X17" i="1"/>
  <c r="AL17" i="1" s="1"/>
  <c r="AD16" i="1"/>
  <c r="AE16" i="1" s="1"/>
  <c r="K17" i="1"/>
  <c r="M17" i="1" s="1"/>
  <c r="AF17" i="1" s="1"/>
  <c r="AG17" i="1" s="1"/>
  <c r="E18" i="1"/>
  <c r="C30" i="1"/>
  <c r="U29" i="1"/>
  <c r="AQ44" i="1"/>
  <c r="AP27" i="1"/>
  <c r="AO30" i="1"/>
  <c r="O27" i="1"/>
  <c r="T27" i="1" s="1"/>
  <c r="AA27" i="1" s="1"/>
  <c r="P27" i="1"/>
  <c r="AC27" i="1"/>
  <c r="AR27" i="1" s="1"/>
  <c r="H27" i="1"/>
  <c r="S27" i="1" s="1"/>
  <c r="Q18" i="1" l="1"/>
  <c r="AD17" i="1"/>
  <c r="AE17" i="1" s="1"/>
  <c r="AH16" i="1"/>
  <c r="AI16" i="1" s="1"/>
  <c r="G18" i="1"/>
  <c r="V18" i="1"/>
  <c r="W18" i="1" s="1"/>
  <c r="Y18" i="1" s="1"/>
  <c r="Z18" i="1" s="1"/>
  <c r="I18" i="1"/>
  <c r="J18" i="1" s="1"/>
  <c r="K18" i="1" s="1"/>
  <c r="M18" i="1" s="1"/>
  <c r="C31" i="1"/>
  <c r="U30" i="1"/>
  <c r="D30" i="1"/>
  <c r="R18" i="1"/>
  <c r="AQ45" i="1"/>
  <c r="AP28" i="1"/>
  <c r="AO31" i="1"/>
  <c r="O28" i="1"/>
  <c r="T28" i="1" s="1"/>
  <c r="AA28" i="1" s="1"/>
  <c r="P28" i="1"/>
  <c r="AC28" i="1"/>
  <c r="AR28" i="1" s="1"/>
  <c r="H28" i="1"/>
  <c r="S28" i="1" s="1"/>
  <c r="AH17" i="1" l="1"/>
  <c r="AI17" i="1" s="1"/>
  <c r="D31" i="1"/>
  <c r="X18" i="1"/>
  <c r="AL18" i="1" s="1"/>
  <c r="AF18" i="1"/>
  <c r="AG18" i="1" s="1"/>
  <c r="L18" i="1"/>
  <c r="AK18" i="1" s="1"/>
  <c r="C32" i="1"/>
  <c r="U31" i="1"/>
  <c r="AQ46" i="1"/>
  <c r="AP29" i="1"/>
  <c r="AO32" i="1"/>
  <c r="O29" i="1"/>
  <c r="T29" i="1" s="1"/>
  <c r="AA29" i="1" s="1"/>
  <c r="P29" i="1"/>
  <c r="AC29" i="1"/>
  <c r="AR29" i="1" s="1"/>
  <c r="AD18" i="1"/>
  <c r="AE18" i="1" s="1"/>
  <c r="H29" i="1"/>
  <c r="S29" i="1" s="1"/>
  <c r="F19" i="1" l="1"/>
  <c r="G19" i="1" s="1"/>
  <c r="Q19" i="1"/>
  <c r="R19" i="1" s="1"/>
  <c r="C33" i="1"/>
  <c r="U32" i="1"/>
  <c r="D32" i="1"/>
  <c r="AQ47" i="1"/>
  <c r="AP30" i="1"/>
  <c r="AO33" i="1"/>
  <c r="O30" i="1"/>
  <c r="T30" i="1" s="1"/>
  <c r="AA30" i="1" s="1"/>
  <c r="P30" i="1"/>
  <c r="AC30" i="1"/>
  <c r="AR30" i="1" s="1"/>
  <c r="AH18" i="1"/>
  <c r="AI18" i="1" s="1"/>
  <c r="H30" i="1"/>
  <c r="S30" i="1" s="1"/>
  <c r="I19" i="1" l="1"/>
  <c r="J19" i="1" s="1"/>
  <c r="K19" i="1" s="1"/>
  <c r="M19" i="1" s="1"/>
  <c r="E19" i="1"/>
  <c r="D33" i="1"/>
  <c r="V19" i="1"/>
  <c r="W19" i="1" s="1"/>
  <c r="Y19" i="1" s="1"/>
  <c r="Z19" i="1" s="1"/>
  <c r="AD19" i="1" s="1"/>
  <c r="AE19" i="1" s="1"/>
  <c r="L19" i="1"/>
  <c r="AK19" i="1" s="1"/>
  <c r="C34" i="1"/>
  <c r="U33" i="1"/>
  <c r="AQ48" i="1"/>
  <c r="AP31" i="1"/>
  <c r="AO34" i="1"/>
  <c r="O31" i="1"/>
  <c r="T31" i="1" s="1"/>
  <c r="AA31" i="1" s="1"/>
  <c r="P31" i="1"/>
  <c r="AC31" i="1"/>
  <c r="AR31" i="1" s="1"/>
  <c r="H31" i="1"/>
  <c r="S31" i="1" s="1"/>
  <c r="F20" i="1" l="1"/>
  <c r="I20" i="1" s="1"/>
  <c r="J20" i="1" s="1"/>
  <c r="K20" i="1" s="1"/>
  <c r="M20" i="1" s="1"/>
  <c r="AF19" i="1"/>
  <c r="AG19" i="1" s="1"/>
  <c r="X19" i="1"/>
  <c r="AL19" i="1" s="1"/>
  <c r="E20" i="1"/>
  <c r="G20" i="1"/>
  <c r="C35" i="1"/>
  <c r="U34" i="1"/>
  <c r="D34" i="1"/>
  <c r="AQ49" i="1"/>
  <c r="AP32" i="1"/>
  <c r="AO35" i="1"/>
  <c r="O32" i="1"/>
  <c r="T32" i="1" s="1"/>
  <c r="AA32" i="1" s="1"/>
  <c r="P32" i="1"/>
  <c r="AC32" i="1"/>
  <c r="AR32" i="1" s="1"/>
  <c r="H32" i="1"/>
  <c r="S32" i="1" s="1"/>
  <c r="Q20" i="1" l="1"/>
  <c r="R20" i="1" s="1"/>
  <c r="AH19" i="1"/>
  <c r="AI19" i="1" s="1"/>
  <c r="L20" i="1"/>
  <c r="AK20" i="1" s="1"/>
  <c r="D35" i="1"/>
  <c r="V20" i="1"/>
  <c r="W20" i="1" s="1"/>
  <c r="Y20" i="1" s="1"/>
  <c r="Z20" i="1" s="1"/>
  <c r="AF20" i="1" s="1"/>
  <c r="AG20" i="1" s="1"/>
  <c r="C36" i="1"/>
  <c r="U35" i="1"/>
  <c r="AQ50" i="1"/>
  <c r="AP33" i="1"/>
  <c r="AO36" i="1"/>
  <c r="O33" i="1"/>
  <c r="T33" i="1" s="1"/>
  <c r="AA33" i="1" s="1"/>
  <c r="P33" i="1"/>
  <c r="AC33" i="1"/>
  <c r="AR33" i="1" s="1"/>
  <c r="H33" i="1"/>
  <c r="S33" i="1" s="1"/>
  <c r="F21" i="1" l="1"/>
  <c r="E21" i="1" s="1"/>
  <c r="X20" i="1"/>
  <c r="AL20" i="1" s="1"/>
  <c r="AD20" i="1"/>
  <c r="AE20" i="1" s="1"/>
  <c r="C37" i="1"/>
  <c r="U36" i="1"/>
  <c r="D36" i="1"/>
  <c r="AQ51" i="1"/>
  <c r="AP34" i="1"/>
  <c r="AO37" i="1"/>
  <c r="O34" i="1"/>
  <c r="P34" i="1"/>
  <c r="AC34" i="1"/>
  <c r="AR34" i="1" s="1"/>
  <c r="H34" i="1"/>
  <c r="S34" i="1" s="1"/>
  <c r="I21" i="1" l="1"/>
  <c r="J21" i="1" s="1"/>
  <c r="K21" i="1" s="1"/>
  <c r="M21" i="1" s="1"/>
  <c r="G21" i="1"/>
  <c r="Q21" i="1"/>
  <c r="R21" i="1" s="1"/>
  <c r="D37" i="1"/>
  <c r="T34" i="1"/>
  <c r="AA34" i="1" s="1"/>
  <c r="AH20" i="1"/>
  <c r="AI20" i="1" s="1"/>
  <c r="V21" i="1"/>
  <c r="W21" i="1" s="1"/>
  <c r="Y21" i="1" s="1"/>
  <c r="Z21" i="1" s="1"/>
  <c r="C38" i="1"/>
  <c r="U37" i="1"/>
  <c r="AQ52" i="1"/>
  <c r="AP35" i="1"/>
  <c r="AO38" i="1"/>
  <c r="O35" i="1"/>
  <c r="T35" i="1" s="1"/>
  <c r="P35" i="1"/>
  <c r="AC35" i="1"/>
  <c r="AR35" i="1" s="1"/>
  <c r="H35" i="1"/>
  <c r="S35" i="1" s="1"/>
  <c r="L21" i="1" l="1"/>
  <c r="AK21" i="1" s="1"/>
  <c r="AD21" i="1"/>
  <c r="AE21" i="1" s="1"/>
  <c r="AA35" i="1"/>
  <c r="AF21" i="1"/>
  <c r="AG21" i="1" s="1"/>
  <c r="X21" i="1"/>
  <c r="AL21" i="1" s="1"/>
  <c r="C39" i="1"/>
  <c r="U38" i="1"/>
  <c r="D38" i="1"/>
  <c r="AQ53" i="1"/>
  <c r="AP36" i="1"/>
  <c r="AO39" i="1"/>
  <c r="O36" i="1"/>
  <c r="T36" i="1" s="1"/>
  <c r="P36" i="1"/>
  <c r="AC36" i="1"/>
  <c r="AR36" i="1" s="1"/>
  <c r="H36" i="1"/>
  <c r="S36" i="1" s="1"/>
  <c r="AA36" i="1" l="1"/>
  <c r="F22" i="1"/>
  <c r="I22" i="1" s="1"/>
  <c r="J22" i="1" s="1"/>
  <c r="K22" i="1" s="1"/>
  <c r="M22" i="1" s="1"/>
  <c r="Q22" i="1"/>
  <c r="R22" i="1" s="1"/>
  <c r="AH21" i="1"/>
  <c r="AI21" i="1" s="1"/>
  <c r="D39" i="1"/>
  <c r="C40" i="1"/>
  <c r="U39" i="1"/>
  <c r="AQ54" i="1"/>
  <c r="AP37" i="1"/>
  <c r="AO40" i="1"/>
  <c r="O37" i="1"/>
  <c r="T37" i="1" s="1"/>
  <c r="P37" i="1"/>
  <c r="AC37" i="1"/>
  <c r="AR37" i="1" s="1"/>
  <c r="H37" i="1"/>
  <c r="S37" i="1" s="1"/>
  <c r="AA37" i="1" l="1"/>
  <c r="V22" i="1"/>
  <c r="W22" i="1" s="1"/>
  <c r="Y22" i="1" s="1"/>
  <c r="Z22" i="1" s="1"/>
  <c r="AF22" i="1" s="1"/>
  <c r="AG22" i="1" s="1"/>
  <c r="G22" i="1"/>
  <c r="L22" i="1" s="1"/>
  <c r="AK22" i="1" s="1"/>
  <c r="E22" i="1"/>
  <c r="C41" i="1"/>
  <c r="U40" i="1"/>
  <c r="D40" i="1"/>
  <c r="AQ55" i="1"/>
  <c r="AP38" i="1"/>
  <c r="AO41" i="1"/>
  <c r="O38" i="1"/>
  <c r="T38" i="1" s="1"/>
  <c r="P38" i="1"/>
  <c r="AC38" i="1"/>
  <c r="AR38" i="1" s="1"/>
  <c r="H38" i="1"/>
  <c r="S38" i="1" s="1"/>
  <c r="X22" i="1" l="1"/>
  <c r="AL22" i="1" s="1"/>
  <c r="AA38" i="1"/>
  <c r="F23" i="1"/>
  <c r="G23" i="1" s="1"/>
  <c r="AD22" i="1"/>
  <c r="AE22" i="1" s="1"/>
  <c r="Q23" i="1"/>
  <c r="V23" i="1" s="1"/>
  <c r="W23" i="1" s="1"/>
  <c r="Y23" i="1" s="1"/>
  <c r="Z23" i="1" s="1"/>
  <c r="D41" i="1"/>
  <c r="C42" i="1"/>
  <c r="U41" i="1"/>
  <c r="AQ56" i="1"/>
  <c r="AP39" i="1"/>
  <c r="AO42" i="1"/>
  <c r="O39" i="1"/>
  <c r="P39" i="1"/>
  <c r="AC39" i="1"/>
  <c r="AR39" i="1" s="1"/>
  <c r="H39" i="1"/>
  <c r="S39" i="1" s="1"/>
  <c r="E23" i="1" l="1"/>
  <c r="I23" i="1"/>
  <c r="J23" i="1" s="1"/>
  <c r="L23" i="1" s="1"/>
  <c r="AK23" i="1" s="1"/>
  <c r="AH22" i="1"/>
  <c r="AI22" i="1" s="1"/>
  <c r="R23" i="1"/>
  <c r="X23" i="1" s="1"/>
  <c r="AL23" i="1" s="1"/>
  <c r="T39" i="1"/>
  <c r="AA39" i="1" s="1"/>
  <c r="C43" i="1"/>
  <c r="U42" i="1"/>
  <c r="D42" i="1"/>
  <c r="AQ57" i="1"/>
  <c r="AP40" i="1"/>
  <c r="AO43" i="1"/>
  <c r="O40" i="1"/>
  <c r="P40" i="1"/>
  <c r="AC40" i="1"/>
  <c r="AR40" i="1" s="1"/>
  <c r="H40" i="1"/>
  <c r="S40" i="1" s="1"/>
  <c r="F24" i="1" l="1"/>
  <c r="E24" i="1" s="1"/>
  <c r="K23" i="1"/>
  <c r="M23" i="1" s="1"/>
  <c r="G24" i="1"/>
  <c r="I24" i="1"/>
  <c r="J24" i="1" s="1"/>
  <c r="Q24" i="1"/>
  <c r="R24" i="1" s="1"/>
  <c r="T40" i="1"/>
  <c r="AA40" i="1" s="1"/>
  <c r="D43" i="1"/>
  <c r="C44" i="1"/>
  <c r="U43" i="1"/>
  <c r="AP41" i="1"/>
  <c r="AO44" i="1"/>
  <c r="O41" i="1"/>
  <c r="P41" i="1"/>
  <c r="AC41" i="1"/>
  <c r="AR41" i="1" s="1"/>
  <c r="H41" i="1"/>
  <c r="S41" i="1" s="1"/>
  <c r="K24" i="1" l="1"/>
  <c r="M24" i="1" s="1"/>
  <c r="AD23" i="1"/>
  <c r="AE23" i="1" s="1"/>
  <c r="AF23" i="1"/>
  <c r="L24" i="1"/>
  <c r="AK24" i="1" s="1"/>
  <c r="T41" i="1"/>
  <c r="AA41" i="1" s="1"/>
  <c r="V24" i="1"/>
  <c r="W24" i="1" s="1"/>
  <c r="Y24" i="1" s="1"/>
  <c r="Z24" i="1" s="1"/>
  <c r="AF24" i="1" s="1"/>
  <c r="C45" i="1"/>
  <c r="U44" i="1"/>
  <c r="D44" i="1"/>
  <c r="P42" i="1"/>
  <c r="AP42" i="1"/>
  <c r="AO45" i="1"/>
  <c r="O42" i="1"/>
  <c r="AC42" i="1"/>
  <c r="AR42" i="1" s="1"/>
  <c r="H42" i="1"/>
  <c r="S42" i="1" s="1"/>
  <c r="AG23" i="1" l="1"/>
  <c r="AH23" i="1"/>
  <c r="AI23" i="1" s="1"/>
  <c r="AG24" i="1"/>
  <c r="F25" i="1"/>
  <c r="I25" i="1" s="1"/>
  <c r="J25" i="1" s="1"/>
  <c r="K25" i="1" s="1"/>
  <c r="M25" i="1" s="1"/>
  <c r="T42" i="1"/>
  <c r="AA42" i="1" s="1"/>
  <c r="AD24" i="1"/>
  <c r="AE24" i="1" s="1"/>
  <c r="X24" i="1"/>
  <c r="AL24" i="1" s="1"/>
  <c r="D45" i="1"/>
  <c r="C46" i="1"/>
  <c r="U45" i="1"/>
  <c r="AP43" i="1"/>
  <c r="AO46" i="1"/>
  <c r="O43" i="1"/>
  <c r="P43" i="1"/>
  <c r="AC43" i="1"/>
  <c r="AR43" i="1" s="1"/>
  <c r="H43" i="1"/>
  <c r="S43" i="1" s="1"/>
  <c r="E25" i="1" l="1"/>
  <c r="G25" i="1"/>
  <c r="L25" i="1" s="1"/>
  <c r="AK25" i="1" s="1"/>
  <c r="Q25" i="1"/>
  <c r="V25" i="1" s="1"/>
  <c r="W25" i="1" s="1"/>
  <c r="Y25" i="1" s="1"/>
  <c r="Z25" i="1" s="1"/>
  <c r="AF25" i="1" s="1"/>
  <c r="AG25" i="1" s="1"/>
  <c r="F26" i="1"/>
  <c r="E26" i="1" s="1"/>
  <c r="AH24" i="1"/>
  <c r="AI24" i="1" s="1"/>
  <c r="T43" i="1"/>
  <c r="AA43" i="1" s="1"/>
  <c r="R25" i="1"/>
  <c r="C47" i="1"/>
  <c r="U46" i="1"/>
  <c r="D46" i="1"/>
  <c r="AP44" i="1"/>
  <c r="AO47" i="1"/>
  <c r="O44" i="1"/>
  <c r="P44" i="1"/>
  <c r="AC44" i="1"/>
  <c r="AR44" i="1" s="1"/>
  <c r="H44" i="1"/>
  <c r="S44" i="1" s="1"/>
  <c r="G26" i="1" l="1"/>
  <c r="D47" i="1"/>
  <c r="I26" i="1"/>
  <c r="J26" i="1" s="1"/>
  <c r="K26" i="1" s="1"/>
  <c r="M26" i="1" s="1"/>
  <c r="X25" i="1"/>
  <c r="AL25" i="1" s="1"/>
  <c r="T44" i="1"/>
  <c r="AA44" i="1" s="1"/>
  <c r="AD25" i="1"/>
  <c r="AE25" i="1" s="1"/>
  <c r="C48" i="1"/>
  <c r="U47" i="1"/>
  <c r="AP45" i="1"/>
  <c r="AO48" i="1"/>
  <c r="O45" i="1"/>
  <c r="P45" i="1"/>
  <c r="AC45" i="1"/>
  <c r="AR45" i="1" s="1"/>
  <c r="H45" i="1"/>
  <c r="S45" i="1" s="1"/>
  <c r="Q26" i="1" l="1"/>
  <c r="R26" i="1" s="1"/>
  <c r="L26" i="1"/>
  <c r="AK26" i="1" s="1"/>
  <c r="AH25" i="1"/>
  <c r="AI25" i="1" s="1"/>
  <c r="T45" i="1"/>
  <c r="AA45" i="1" s="1"/>
  <c r="U48" i="1"/>
  <c r="C49" i="1"/>
  <c r="D48" i="1"/>
  <c r="AP46" i="1"/>
  <c r="AO49" i="1"/>
  <c r="O46" i="1"/>
  <c r="AC46" i="1"/>
  <c r="AR46" i="1" s="1"/>
  <c r="H46" i="1"/>
  <c r="S46" i="1" s="1"/>
  <c r="V26" i="1" l="1"/>
  <c r="W26" i="1" s="1"/>
  <c r="X26" i="1" s="1"/>
  <c r="AL26" i="1" s="1"/>
  <c r="F27" i="1"/>
  <c r="G27" i="1" s="1"/>
  <c r="T46" i="1"/>
  <c r="AA46" i="1" s="1"/>
  <c r="U49" i="1"/>
  <c r="D49" i="1"/>
  <c r="C50" i="1"/>
  <c r="P47" i="1"/>
  <c r="P46" i="1"/>
  <c r="AP47" i="1"/>
  <c r="AO50" i="1"/>
  <c r="O47" i="1"/>
  <c r="H47" i="1"/>
  <c r="S47" i="1" s="1"/>
  <c r="AC47" i="1"/>
  <c r="AR47" i="1" s="1"/>
  <c r="Y26" i="1" l="1"/>
  <c r="Z26" i="1" s="1"/>
  <c r="AF26" i="1" s="1"/>
  <c r="AG26" i="1" s="1"/>
  <c r="I27" i="1"/>
  <c r="J27" i="1" s="1"/>
  <c r="K27" i="1" s="1"/>
  <c r="M27" i="1" s="1"/>
  <c r="E27" i="1"/>
  <c r="Q27" i="1"/>
  <c r="V27" i="1" s="1"/>
  <c r="W27" i="1" s="1"/>
  <c r="T47" i="1"/>
  <c r="AA47" i="1" s="1"/>
  <c r="U50" i="1"/>
  <c r="C51" i="1"/>
  <c r="D50" i="1"/>
  <c r="AP48" i="1"/>
  <c r="AO51" i="1"/>
  <c r="O48" i="1"/>
  <c r="H48" i="1"/>
  <c r="S48" i="1" s="1"/>
  <c r="AC48" i="1"/>
  <c r="AR48" i="1" s="1"/>
  <c r="P48" i="1"/>
  <c r="AD26" i="1" l="1"/>
  <c r="AE26" i="1" s="1"/>
  <c r="R27" i="1"/>
  <c r="X27" i="1" s="1"/>
  <c r="AL27" i="1" s="1"/>
  <c r="L27" i="1"/>
  <c r="AK27" i="1" s="1"/>
  <c r="T48" i="1"/>
  <c r="AA48" i="1" s="1"/>
  <c r="AH26" i="1"/>
  <c r="AI26" i="1" s="1"/>
  <c r="Y27" i="1"/>
  <c r="Z27" i="1" s="1"/>
  <c r="U51" i="1"/>
  <c r="D51" i="1"/>
  <c r="C52" i="1"/>
  <c r="AP49" i="1"/>
  <c r="AO52" i="1"/>
  <c r="O49" i="1"/>
  <c r="H49" i="1"/>
  <c r="S49" i="1" s="1"/>
  <c r="AC49" i="1"/>
  <c r="AR49" i="1" s="1"/>
  <c r="P49" i="1"/>
  <c r="F28" i="1" l="1"/>
  <c r="G28" i="1" s="1"/>
  <c r="Q28" i="1"/>
  <c r="R28" i="1" s="1"/>
  <c r="T49" i="1"/>
  <c r="AA49" i="1" s="1"/>
  <c r="AD27" i="1"/>
  <c r="AE27" i="1" s="1"/>
  <c r="AF27" i="1"/>
  <c r="U52" i="1"/>
  <c r="D52" i="1"/>
  <c r="C53" i="1"/>
  <c r="AP50" i="1"/>
  <c r="AO53" i="1"/>
  <c r="O50" i="1"/>
  <c r="H50" i="1"/>
  <c r="S50" i="1" s="1"/>
  <c r="AC50" i="1"/>
  <c r="AR50" i="1" s="1"/>
  <c r="P50" i="1"/>
  <c r="E28" i="1" l="1"/>
  <c r="I28" i="1"/>
  <c r="J28" i="1" s="1"/>
  <c r="K28" i="1" s="1"/>
  <c r="M28" i="1" s="1"/>
  <c r="V28" i="1"/>
  <c r="W28" i="1" s="1"/>
  <c r="Y28" i="1" s="1"/>
  <c r="Z28" i="1" s="1"/>
  <c r="T50" i="1"/>
  <c r="AA50" i="1" s="1"/>
  <c r="AG27" i="1"/>
  <c r="AH27" i="1"/>
  <c r="AI27" i="1" s="1"/>
  <c r="U53" i="1"/>
  <c r="C54" i="1"/>
  <c r="D53" i="1"/>
  <c r="AP51" i="1"/>
  <c r="AO54" i="1"/>
  <c r="O51" i="1"/>
  <c r="H51" i="1"/>
  <c r="S51" i="1" s="1"/>
  <c r="AC51" i="1"/>
  <c r="AR51" i="1" s="1"/>
  <c r="P51" i="1"/>
  <c r="AF28" i="1" l="1"/>
  <c r="L28" i="1"/>
  <c r="AK28" i="1" s="1"/>
  <c r="AD28" i="1"/>
  <c r="AG28" i="1"/>
  <c r="X28" i="1"/>
  <c r="AL28" i="1" s="1"/>
  <c r="U54" i="1"/>
  <c r="C55" i="1"/>
  <c r="D54" i="1"/>
  <c r="T51" i="1"/>
  <c r="AA51" i="1" s="1"/>
  <c r="AP52" i="1"/>
  <c r="AO55" i="1"/>
  <c r="AC53" i="1"/>
  <c r="AR53" i="1" s="1"/>
  <c r="O53" i="1"/>
  <c r="O52" i="1"/>
  <c r="H52" i="1"/>
  <c r="S52" i="1" s="1"/>
  <c r="AC52" i="1"/>
  <c r="AR52" i="1" s="1"/>
  <c r="P52" i="1"/>
  <c r="AH28" i="1" l="1"/>
  <c r="AI28" i="1" s="1"/>
  <c r="F29" i="1"/>
  <c r="E29" i="1" s="1"/>
  <c r="Q29" i="1"/>
  <c r="V29" i="1" s="1"/>
  <c r="W29" i="1" s="1"/>
  <c r="Y29" i="1" s="1"/>
  <c r="Z29" i="1" s="1"/>
  <c r="AE28" i="1"/>
  <c r="T52" i="1"/>
  <c r="AA52" i="1" s="1"/>
  <c r="T53" i="1"/>
  <c r="U55" i="1"/>
  <c r="D55" i="1"/>
  <c r="C56" i="1"/>
  <c r="H53" i="1"/>
  <c r="S53" i="1" s="1"/>
  <c r="AC54" i="1"/>
  <c r="AR54" i="1" s="1"/>
  <c r="AP53" i="1"/>
  <c r="AO56" i="1"/>
  <c r="P53" i="1"/>
  <c r="I29" i="1" l="1"/>
  <c r="J29" i="1" s="1"/>
  <c r="K29" i="1" s="1"/>
  <c r="M29" i="1" s="1"/>
  <c r="AF29" i="1" s="1"/>
  <c r="AG29" i="1" s="1"/>
  <c r="G29" i="1"/>
  <c r="R29" i="1"/>
  <c r="X29" i="1" s="1"/>
  <c r="AL29" i="1" s="1"/>
  <c r="AA53" i="1"/>
  <c r="U56" i="1"/>
  <c r="C57" i="1"/>
  <c r="D56" i="1"/>
  <c r="H54" i="1"/>
  <c r="S54" i="1" s="1"/>
  <c r="O55" i="1"/>
  <c r="O54" i="1"/>
  <c r="AP54" i="1"/>
  <c r="AO57" i="1"/>
  <c r="P54" i="1"/>
  <c r="Q30" i="1" l="1"/>
  <c r="R30" i="1" s="1"/>
  <c r="AD29" i="1"/>
  <c r="AE29" i="1" s="1"/>
  <c r="L29" i="1"/>
  <c r="V30" i="1"/>
  <c r="W30" i="1" s="1"/>
  <c r="Y30" i="1" s="1"/>
  <c r="Z30" i="1" s="1"/>
  <c r="T55" i="1"/>
  <c r="T54" i="1"/>
  <c r="AA54" i="1" s="1"/>
  <c r="U57" i="1"/>
  <c r="D57" i="1"/>
  <c r="H55" i="1"/>
  <c r="S55" i="1" s="1"/>
  <c r="AC56" i="1"/>
  <c r="AR56" i="1" s="1"/>
  <c r="AC55" i="1"/>
  <c r="AR55" i="1" s="1"/>
  <c r="AP55" i="1"/>
  <c r="P55" i="1"/>
  <c r="AH29" i="1" l="1"/>
  <c r="AI29" i="1" s="1"/>
  <c r="AK29" i="1"/>
  <c r="F30" i="1"/>
  <c r="AA55" i="1"/>
  <c r="X30" i="1"/>
  <c r="AL30" i="1" s="1"/>
  <c r="H56" i="1"/>
  <c r="S56" i="1" s="1"/>
  <c r="O56" i="1"/>
  <c r="P56" i="1"/>
  <c r="AP56" i="1"/>
  <c r="G30" i="1" l="1"/>
  <c r="E30" i="1"/>
  <c r="I30" i="1"/>
  <c r="J30" i="1" s="1"/>
  <c r="K30" i="1" s="1"/>
  <c r="M30" i="1" s="1"/>
  <c r="Q31" i="1"/>
  <c r="V31" i="1" s="1"/>
  <c r="W31" i="1" s="1"/>
  <c r="Y31" i="1" s="1"/>
  <c r="Z31" i="1" s="1"/>
  <c r="T56" i="1"/>
  <c r="AA56" i="1" s="1"/>
  <c r="H57" i="1"/>
  <c r="S57" i="1" s="1"/>
  <c r="AC57" i="1"/>
  <c r="AR57" i="1" s="1"/>
  <c r="O57" i="1"/>
  <c r="P57" i="1"/>
  <c r="AP57" i="1"/>
  <c r="L30" i="1" l="1"/>
  <c r="F31" i="1" s="1"/>
  <c r="AD30" i="1"/>
  <c r="AE30" i="1" s="1"/>
  <c r="AF30" i="1"/>
  <c r="R31" i="1"/>
  <c r="X31" i="1" s="1"/>
  <c r="T57" i="1"/>
  <c r="AK30" i="1" l="1"/>
  <c r="AG30" i="1"/>
  <c r="AH30" i="1"/>
  <c r="AI30" i="1" s="1"/>
  <c r="E31" i="1"/>
  <c r="I31" i="1"/>
  <c r="J31" i="1" s="1"/>
  <c r="K31" i="1" s="1"/>
  <c r="M31" i="1" s="1"/>
  <c r="G31" i="1"/>
  <c r="AL31" i="1"/>
  <c r="Q32" i="1"/>
  <c r="V32" i="1" s="1"/>
  <c r="W32" i="1" s="1"/>
  <c r="Y32" i="1" s="1"/>
  <c r="Z32" i="1" s="1"/>
  <c r="AA57" i="1"/>
  <c r="AA7" i="1" s="1"/>
  <c r="R32" i="1" l="1"/>
  <c r="AF31" i="1"/>
  <c r="AD31" i="1"/>
  <c r="AE31" i="1" s="1"/>
  <c r="L31" i="1"/>
  <c r="X32" i="1"/>
  <c r="AL32" i="1" s="1"/>
  <c r="F32" i="1" l="1"/>
  <c r="AK31" i="1"/>
  <c r="AG31" i="1"/>
  <c r="AH31" i="1"/>
  <c r="AI31" i="1" s="1"/>
  <c r="Q33" i="1"/>
  <c r="V33" i="1" s="1"/>
  <c r="W33" i="1" s="1"/>
  <c r="G32" i="1" l="1"/>
  <c r="I32" i="1"/>
  <c r="J32" i="1" s="1"/>
  <c r="K32" i="1" s="1"/>
  <c r="M32" i="1" s="1"/>
  <c r="E32" i="1"/>
  <c r="R33" i="1"/>
  <c r="X33" i="1" s="1"/>
  <c r="AL33" i="1" s="1"/>
  <c r="Y33" i="1"/>
  <c r="Z33" i="1" s="1"/>
  <c r="AF32" i="1" l="1"/>
  <c r="AD32" i="1"/>
  <c r="AE32" i="1" s="1"/>
  <c r="L32" i="1"/>
  <c r="Q34" i="1"/>
  <c r="V34" i="1" s="1"/>
  <c r="W34" i="1" s="1"/>
  <c r="Y34" i="1" s="1"/>
  <c r="Z34" i="1" s="1"/>
  <c r="F33" i="1" l="1"/>
  <c r="AK32" i="1"/>
  <c r="AG32" i="1"/>
  <c r="AH32" i="1"/>
  <c r="AI32" i="1" s="1"/>
  <c r="R34" i="1"/>
  <c r="X34" i="1" s="1"/>
  <c r="AL34" i="1" s="1"/>
  <c r="I33" i="1" l="1"/>
  <c r="J33" i="1" s="1"/>
  <c r="K33" i="1" s="1"/>
  <c r="M33" i="1" s="1"/>
  <c r="AF33" i="1" s="1"/>
  <c r="E33" i="1"/>
  <c r="G33" i="1"/>
  <c r="Q35" i="1"/>
  <c r="AD33" i="1" l="1"/>
  <c r="AE33" i="1" s="1"/>
  <c r="L33" i="1"/>
  <c r="AG33" i="1"/>
  <c r="AH33" i="1"/>
  <c r="AI33" i="1" s="1"/>
  <c r="R35" i="1"/>
  <c r="V35" i="1"/>
  <c r="W35" i="1" s="1"/>
  <c r="Y35" i="1" s="1"/>
  <c r="Z35" i="1" s="1"/>
  <c r="AK33" i="1" l="1"/>
  <c r="F34" i="1"/>
  <c r="X35" i="1"/>
  <c r="AL35" i="1" s="1"/>
  <c r="G34" i="1" l="1"/>
  <c r="I34" i="1"/>
  <c r="J34" i="1" s="1"/>
  <c r="K34" i="1" s="1"/>
  <c r="M34" i="1" s="1"/>
  <c r="E34" i="1"/>
  <c r="Q36" i="1"/>
  <c r="V36" i="1" s="1"/>
  <c r="W36" i="1" s="1"/>
  <c r="Y36" i="1" s="1"/>
  <c r="Z36" i="1" s="1"/>
  <c r="AD34" i="1" l="1"/>
  <c r="AE34" i="1" s="1"/>
  <c r="AF34" i="1"/>
  <c r="L34" i="1"/>
  <c r="R36" i="1"/>
  <c r="X36" i="1" s="1"/>
  <c r="AL36" i="1" s="1"/>
  <c r="AG34" i="1" l="1"/>
  <c r="AH34" i="1"/>
  <c r="AI34" i="1" s="1"/>
  <c r="AK34" i="1"/>
  <c r="F35" i="1"/>
  <c r="Q37" i="1"/>
  <c r="I35" i="1" l="1"/>
  <c r="J35" i="1" s="1"/>
  <c r="K35" i="1" s="1"/>
  <c r="M35" i="1" s="1"/>
  <c r="E35" i="1"/>
  <c r="G35" i="1"/>
  <c r="R37" i="1"/>
  <c r="V37" i="1"/>
  <c r="W37" i="1" s="1"/>
  <c r="Y37" i="1" s="1"/>
  <c r="Z37" i="1" s="1"/>
  <c r="L35" i="1" l="1"/>
  <c r="AK35" i="1" s="1"/>
  <c r="AF35" i="1"/>
  <c r="AD35" i="1"/>
  <c r="AE35" i="1" s="1"/>
  <c r="X37" i="1"/>
  <c r="AL37" i="1" s="1"/>
  <c r="F36" i="1" l="1"/>
  <c r="I36" i="1" s="1"/>
  <c r="J36" i="1" s="1"/>
  <c r="K36" i="1" s="1"/>
  <c r="M36" i="1" s="1"/>
  <c r="AF36" i="1" s="1"/>
  <c r="AG35" i="1"/>
  <c r="AH35" i="1"/>
  <c r="AI35" i="1" s="1"/>
  <c r="E36" i="1"/>
  <c r="Q38" i="1"/>
  <c r="R38" i="1" s="1"/>
  <c r="G36" i="1" l="1"/>
  <c r="AD36" i="1"/>
  <c r="AE36" i="1" s="1"/>
  <c r="L36" i="1"/>
  <c r="AK36" i="1" s="1"/>
  <c r="V38" i="1"/>
  <c r="W38" i="1" s="1"/>
  <c r="Y38" i="1" s="1"/>
  <c r="Z38" i="1" s="1"/>
  <c r="AG36" i="1"/>
  <c r="AH36" i="1" l="1"/>
  <c r="AI36" i="1" s="1"/>
  <c r="F37" i="1"/>
  <c r="E37" i="1" s="1"/>
  <c r="X38" i="1"/>
  <c r="AL38" i="1" s="1"/>
  <c r="I37" i="1"/>
  <c r="J37" i="1" s="1"/>
  <c r="K37" i="1" s="1"/>
  <c r="M37" i="1" s="1"/>
  <c r="G37" i="1" l="1"/>
  <c r="Q39" i="1"/>
  <c r="R39" i="1" s="1"/>
  <c r="L37" i="1"/>
  <c r="V39" i="1"/>
  <c r="W39" i="1" s="1"/>
  <c r="X39" i="1" s="1"/>
  <c r="AL39" i="1" s="1"/>
  <c r="AF37" i="1"/>
  <c r="AD37" i="1"/>
  <c r="AE37" i="1" s="1"/>
  <c r="Y39" i="1" l="1"/>
  <c r="Z39" i="1" s="1"/>
  <c r="AH37" i="1"/>
  <c r="AI37" i="1" s="1"/>
  <c r="AG37" i="1"/>
  <c r="F38" i="1"/>
  <c r="AK37" i="1"/>
  <c r="Q40" i="1"/>
  <c r="V40" i="1" s="1"/>
  <c r="W40" i="1" s="1"/>
  <c r="Y40" i="1" s="1"/>
  <c r="Z40" i="1" s="1"/>
  <c r="E38" i="1" l="1"/>
  <c r="I38" i="1"/>
  <c r="J38" i="1" s="1"/>
  <c r="K38" i="1" s="1"/>
  <c r="M38" i="1" s="1"/>
  <c r="G38" i="1"/>
  <c r="R40" i="1"/>
  <c r="X40" i="1" s="1"/>
  <c r="AL40" i="1" s="1"/>
  <c r="AD38" i="1" l="1"/>
  <c r="AE38" i="1" s="1"/>
  <c r="AF38" i="1"/>
  <c r="L38" i="1"/>
  <c r="Q41" i="1"/>
  <c r="AK38" i="1" l="1"/>
  <c r="F39" i="1"/>
  <c r="AH38" i="1"/>
  <c r="AI38" i="1" s="1"/>
  <c r="AG38" i="1"/>
  <c r="R41" i="1"/>
  <c r="V41" i="1"/>
  <c r="W41" i="1" s="1"/>
  <c r="Y41" i="1" s="1"/>
  <c r="Z41" i="1" s="1"/>
  <c r="I39" i="1" l="1"/>
  <c r="J39" i="1" s="1"/>
  <c r="K39" i="1" s="1"/>
  <c r="M39" i="1" s="1"/>
  <c r="G39" i="1"/>
  <c r="E39" i="1"/>
  <c r="X41" i="1"/>
  <c r="AL41" i="1" s="1"/>
  <c r="L39" i="1" l="1"/>
  <c r="AK39" i="1" s="1"/>
  <c r="AF39" i="1"/>
  <c r="AD39" i="1"/>
  <c r="AE39" i="1" s="1"/>
  <c r="Q42" i="1"/>
  <c r="R42" i="1" s="1"/>
  <c r="F40" i="1" l="1"/>
  <c r="I40" i="1" s="1"/>
  <c r="J40" i="1" s="1"/>
  <c r="K40" i="1" s="1"/>
  <c r="M40" i="1" s="1"/>
  <c r="AH39" i="1"/>
  <c r="AI39" i="1" s="1"/>
  <c r="AG39" i="1"/>
  <c r="V42" i="1"/>
  <c r="W42" i="1" s="1"/>
  <c r="Y42" i="1" s="1"/>
  <c r="Z42" i="1" s="1"/>
  <c r="E40" i="1" l="1"/>
  <c r="G40" i="1"/>
  <c r="L40" i="1" s="1"/>
  <c r="F41" i="1" s="1"/>
  <c r="AD40" i="1"/>
  <c r="AE40" i="1" s="1"/>
  <c r="AF40" i="1"/>
  <c r="AG40" i="1" s="1"/>
  <c r="X42" i="1"/>
  <c r="AL42" i="1" s="1"/>
  <c r="AK40" i="1" l="1"/>
  <c r="AH40" i="1"/>
  <c r="AI40" i="1" s="1"/>
  <c r="E41" i="1"/>
  <c r="G41" i="1"/>
  <c r="I41" i="1"/>
  <c r="J41" i="1" s="1"/>
  <c r="K41" i="1" s="1"/>
  <c r="M41" i="1" s="1"/>
  <c r="Q43" i="1"/>
  <c r="V43" i="1" s="1"/>
  <c r="W43" i="1" s="1"/>
  <c r="R43" i="1" l="1"/>
  <c r="AF41" i="1"/>
  <c r="AD41" i="1"/>
  <c r="AE41" i="1" s="1"/>
  <c r="L41" i="1"/>
  <c r="Y43" i="1"/>
  <c r="Z43" i="1" s="1"/>
  <c r="AG2" i="1"/>
  <c r="X43" i="1"/>
  <c r="AL43" i="1" s="1"/>
  <c r="AK41" i="1" l="1"/>
  <c r="F42" i="1"/>
  <c r="AH41" i="1"/>
  <c r="AI41" i="1" s="1"/>
  <c r="AG41" i="1"/>
  <c r="Q44" i="1"/>
  <c r="V44" i="1" s="1"/>
  <c r="W44" i="1" s="1"/>
  <c r="Y44" i="1" s="1"/>
  <c r="Z44" i="1" s="1"/>
  <c r="R44" i="1" l="1"/>
  <c r="X44" i="1" s="1"/>
  <c r="AL44" i="1" s="1"/>
  <c r="E42" i="1"/>
  <c r="I42" i="1"/>
  <c r="J42" i="1" s="1"/>
  <c r="K42" i="1" s="1"/>
  <c r="M42" i="1" s="1"/>
  <c r="G42" i="1"/>
  <c r="Q45" i="1" l="1"/>
  <c r="V45" i="1" s="1"/>
  <c r="W45" i="1" s="1"/>
  <c r="Y45" i="1" s="1"/>
  <c r="Z45" i="1" s="1"/>
  <c r="L42" i="1"/>
  <c r="AF42" i="1"/>
  <c r="AD42" i="1"/>
  <c r="AE42" i="1" s="1"/>
  <c r="R45" i="1" l="1"/>
  <c r="X45" i="1" s="1"/>
  <c r="AK42" i="1"/>
  <c r="F43" i="1"/>
  <c r="AH42" i="1"/>
  <c r="AI42" i="1" s="1"/>
  <c r="AG42" i="1"/>
  <c r="AL45" i="1" l="1"/>
  <c r="Q46" i="1"/>
  <c r="I43" i="1"/>
  <c r="J43" i="1" s="1"/>
  <c r="K43" i="1" s="1"/>
  <c r="M43" i="1" s="1"/>
  <c r="G43" i="1"/>
  <c r="E43" i="1"/>
  <c r="R46" i="1" l="1"/>
  <c r="V46" i="1"/>
  <c r="W46" i="1" s="1"/>
  <c r="Y46" i="1" s="1"/>
  <c r="Z46" i="1" s="1"/>
  <c r="AD43" i="1"/>
  <c r="AE43" i="1" s="1"/>
  <c r="AF43" i="1"/>
  <c r="L43" i="1"/>
  <c r="X46" i="1" l="1"/>
  <c r="AK43" i="1"/>
  <c r="F44" i="1"/>
  <c r="AH43" i="1"/>
  <c r="AI43" i="1" s="1"/>
  <c r="AG43" i="1"/>
  <c r="AL46" i="1" l="1"/>
  <c r="Q47" i="1"/>
  <c r="I44" i="1"/>
  <c r="J44" i="1" s="1"/>
  <c r="K44" i="1" s="1"/>
  <c r="M44" i="1" s="1"/>
  <c r="G44" i="1"/>
  <c r="E44" i="1"/>
  <c r="R47" i="1" l="1"/>
  <c r="V47" i="1"/>
  <c r="W47" i="1" s="1"/>
  <c r="Y47" i="1" s="1"/>
  <c r="Z47" i="1" s="1"/>
  <c r="L44" i="1"/>
  <c r="AF44" i="1"/>
  <c r="AD44" i="1"/>
  <c r="AE44" i="1" s="1"/>
  <c r="X47" i="1" l="1"/>
  <c r="AH44" i="1"/>
  <c r="AI44" i="1" s="1"/>
  <c r="AG44" i="1"/>
  <c r="AK44" i="1"/>
  <c r="F45" i="1"/>
  <c r="AL47" i="1" l="1"/>
  <c r="Q48" i="1"/>
  <c r="I45" i="1"/>
  <c r="J45" i="1" s="1"/>
  <c r="K45" i="1" s="1"/>
  <c r="M45" i="1" s="1"/>
  <c r="E45" i="1"/>
  <c r="G45" i="1"/>
  <c r="V48" i="1" l="1"/>
  <c r="W48" i="1" s="1"/>
  <c r="Y48" i="1" s="1"/>
  <c r="Z48" i="1" s="1"/>
  <c r="R48" i="1"/>
  <c r="L45" i="1"/>
  <c r="AK45" i="1" s="1"/>
  <c r="AD45" i="1"/>
  <c r="AE45" i="1" s="1"/>
  <c r="AF45" i="1"/>
  <c r="X48" i="1" l="1"/>
  <c r="F46" i="1"/>
  <c r="G46" i="1" s="1"/>
  <c r="AH45" i="1"/>
  <c r="AI45" i="1" s="1"/>
  <c r="AG45" i="1"/>
  <c r="E46" i="1"/>
  <c r="I46" i="1" l="1"/>
  <c r="J46" i="1" s="1"/>
  <c r="K46" i="1" s="1"/>
  <c r="M46" i="1" s="1"/>
  <c r="AL48" i="1"/>
  <c r="Q49" i="1"/>
  <c r="L46" i="1"/>
  <c r="AD46" i="1" l="1"/>
  <c r="AE46" i="1" s="1"/>
  <c r="AF46" i="1"/>
  <c r="AG46" i="1" s="1"/>
  <c r="R49" i="1"/>
  <c r="V49" i="1"/>
  <c r="W49" i="1" s="1"/>
  <c r="AK46" i="1"/>
  <c r="F47" i="1"/>
  <c r="AH46" i="1"/>
  <c r="AI46" i="1" s="1"/>
  <c r="X49" i="1" l="1"/>
  <c r="Y49" i="1"/>
  <c r="Z49" i="1" s="1"/>
  <c r="I47" i="1"/>
  <c r="J47" i="1" s="1"/>
  <c r="K47" i="1" s="1"/>
  <c r="M47" i="1" s="1"/>
  <c r="E47" i="1"/>
  <c r="G47" i="1"/>
  <c r="AL49" i="1" l="1"/>
  <c r="Q50" i="1"/>
  <c r="L47" i="1"/>
  <c r="AF47" i="1"/>
  <c r="AD47" i="1"/>
  <c r="AE47" i="1" s="1"/>
  <c r="R50" i="1" l="1"/>
  <c r="V50" i="1"/>
  <c r="W50" i="1" s="1"/>
  <c r="Y50" i="1" s="1"/>
  <c r="Z50" i="1" s="1"/>
  <c r="AK47" i="1"/>
  <c r="F48" i="1"/>
  <c r="AH47" i="1"/>
  <c r="AI47" i="1" s="1"/>
  <c r="AG47" i="1"/>
  <c r="X50" i="1" l="1"/>
  <c r="E48" i="1"/>
  <c r="I48" i="1"/>
  <c r="J48" i="1" s="1"/>
  <c r="K48" i="1" s="1"/>
  <c r="M48" i="1" s="1"/>
  <c r="G48" i="1"/>
  <c r="AL50" i="1" l="1"/>
  <c r="Q51" i="1"/>
  <c r="L48" i="1"/>
  <c r="AD48" i="1"/>
  <c r="AE48" i="1" s="1"/>
  <c r="AF48" i="1"/>
  <c r="V51" i="1" l="1"/>
  <c r="W51" i="1" s="1"/>
  <c r="Y51" i="1" s="1"/>
  <c r="Z51" i="1" s="1"/>
  <c r="R51" i="1"/>
  <c r="AK48" i="1"/>
  <c r="F49" i="1"/>
  <c r="AH48" i="1"/>
  <c r="AI48" i="1" s="1"/>
  <c r="AG48" i="1"/>
  <c r="X51" i="1" l="1"/>
  <c r="I49" i="1"/>
  <c r="J49" i="1" s="1"/>
  <c r="K49" i="1" s="1"/>
  <c r="M49" i="1" s="1"/>
  <c r="G49" i="1"/>
  <c r="E49" i="1"/>
  <c r="L49" i="1" l="1"/>
  <c r="AK49" i="1" s="1"/>
  <c r="AD49" i="1"/>
  <c r="AE49" i="1" s="1"/>
  <c r="AF49" i="1"/>
  <c r="AL51" i="1"/>
  <c r="Q52" i="1"/>
  <c r="F50" i="1" l="1"/>
  <c r="V52" i="1"/>
  <c r="W52" i="1" s="1"/>
  <c r="Y52" i="1" s="1"/>
  <c r="Z52" i="1" s="1"/>
  <c r="R52" i="1"/>
  <c r="I50" i="1"/>
  <c r="J50" i="1" s="1"/>
  <c r="K50" i="1" s="1"/>
  <c r="M50" i="1" s="1"/>
  <c r="G50" i="1"/>
  <c r="E50" i="1"/>
  <c r="AH49" i="1"/>
  <c r="AI49" i="1" s="1"/>
  <c r="AG49" i="1"/>
  <c r="X52" i="1" l="1"/>
  <c r="L50" i="1"/>
  <c r="AK50" i="1" s="1"/>
  <c r="AD50" i="1"/>
  <c r="AF50" i="1"/>
  <c r="F51" i="1" l="1"/>
  <c r="AL52" i="1"/>
  <c r="Q53" i="1"/>
  <c r="AH50" i="1"/>
  <c r="AI50" i="1" s="1"/>
  <c r="AE50" i="1"/>
  <c r="E51" i="1"/>
  <c r="G51" i="1"/>
  <c r="I51" i="1"/>
  <c r="J51" i="1" s="1"/>
  <c r="K51" i="1" s="1"/>
  <c r="M51" i="1" s="1"/>
  <c r="AG50" i="1"/>
  <c r="V53" i="1" l="1"/>
  <c r="W53" i="1" s="1"/>
  <c r="Y53" i="1" s="1"/>
  <c r="Z53" i="1" s="1"/>
  <c r="R53" i="1"/>
  <c r="L51" i="1"/>
  <c r="AF51" i="1"/>
  <c r="AD51" i="1"/>
  <c r="AE51" i="1" s="1"/>
  <c r="X53" i="1" l="1"/>
  <c r="AL53" i="1" s="1"/>
  <c r="AK51" i="1"/>
  <c r="F52" i="1"/>
  <c r="AH51" i="1"/>
  <c r="AI51" i="1" s="1"/>
  <c r="AG51" i="1"/>
  <c r="Q54" i="1" l="1"/>
  <c r="V54" i="1" s="1"/>
  <c r="W54" i="1" s="1"/>
  <c r="Y54" i="1" s="1"/>
  <c r="Z54" i="1" s="1"/>
  <c r="G52" i="1"/>
  <c r="I52" i="1"/>
  <c r="J52" i="1" s="1"/>
  <c r="K52" i="1" s="1"/>
  <c r="M52" i="1" s="1"/>
  <c r="E52" i="1"/>
  <c r="E5" i="1" s="1"/>
  <c r="J9" i="2" s="1"/>
  <c r="R54" i="1" l="1"/>
  <c r="X54" i="1"/>
  <c r="AD52" i="1"/>
  <c r="AE52" i="1" s="1"/>
  <c r="AF52" i="1"/>
  <c r="L52" i="1"/>
  <c r="F53" i="1" s="1"/>
  <c r="G53" i="1" l="1"/>
  <c r="E53" i="1"/>
  <c r="I53" i="1"/>
  <c r="J53" i="1" s="1"/>
  <c r="K53" i="1" s="1"/>
  <c r="M53" i="1" s="1"/>
  <c r="AL54" i="1"/>
  <c r="Q55" i="1"/>
  <c r="AK52" i="1"/>
  <c r="AH52" i="1"/>
  <c r="AI52" i="1" s="1"/>
  <c r="AF2" i="1"/>
  <c r="AG52" i="1"/>
  <c r="L53" i="1" l="1"/>
  <c r="AK53" i="1" s="1"/>
  <c r="AD53" i="1"/>
  <c r="AE53" i="1" s="1"/>
  <c r="AF53" i="1"/>
  <c r="AG53" i="1"/>
  <c r="R55" i="1"/>
  <c r="V55" i="1"/>
  <c r="W55" i="1" s="1"/>
  <c r="Y55" i="1" s="1"/>
  <c r="Z55" i="1" s="1"/>
  <c r="F54" i="1"/>
  <c r="X55" i="1" l="1"/>
  <c r="AL55" i="1" s="1"/>
  <c r="AH53" i="1"/>
  <c r="AI53" i="1" s="1"/>
  <c r="Q56" i="1"/>
  <c r="I54" i="1"/>
  <c r="J54" i="1" s="1"/>
  <c r="K54" i="1" s="1"/>
  <c r="M54" i="1" s="1"/>
  <c r="E54" i="1"/>
  <c r="G54" i="1"/>
  <c r="L54" i="1" l="1"/>
  <c r="AK54" i="1" s="1"/>
  <c r="F55" i="1"/>
  <c r="R56" i="1"/>
  <c r="V56" i="1"/>
  <c r="W56" i="1" s="1"/>
  <c r="Y56" i="1" s="1"/>
  <c r="Z56" i="1" s="1"/>
  <c r="AD54" i="1"/>
  <c r="AE54" i="1" s="1"/>
  <c r="AF54" i="1"/>
  <c r="X56" i="1" l="1"/>
  <c r="AL56" i="1" s="1"/>
  <c r="AH54" i="1"/>
  <c r="AI54" i="1" s="1"/>
  <c r="AG54" i="1"/>
  <c r="I55" i="1"/>
  <c r="J55" i="1" s="1"/>
  <c r="K55" i="1" s="1"/>
  <c r="M55" i="1" s="1"/>
  <c r="G55" i="1"/>
  <c r="E55" i="1"/>
  <c r="L55" i="1" l="1"/>
  <c r="AK55" i="1" s="1"/>
  <c r="Q57" i="1"/>
  <c r="F56" i="1"/>
  <c r="AF55" i="1"/>
  <c r="AD55" i="1"/>
  <c r="AE55" i="1" s="1"/>
  <c r="V57" i="1"/>
  <c r="W57" i="1" s="1"/>
  <c r="Y57" i="1" s="1"/>
  <c r="Z57" i="1" s="1"/>
  <c r="R57" i="1"/>
  <c r="X57" i="1" l="1"/>
  <c r="AL57" i="1" s="1"/>
  <c r="AG55" i="1"/>
  <c r="AH55" i="1"/>
  <c r="AI55" i="1" s="1"/>
  <c r="E56" i="1"/>
  <c r="G56" i="1"/>
  <c r="I56" i="1"/>
  <c r="J56" i="1" s="1"/>
  <c r="K56" i="1" s="1"/>
  <c r="M56" i="1" s="1"/>
  <c r="L56" i="1" l="1"/>
  <c r="AK56" i="1" s="1"/>
  <c r="F57" i="1"/>
  <c r="AD56" i="1"/>
  <c r="AE56" i="1" s="1"/>
  <c r="AF56" i="1"/>
  <c r="AH56" i="1" l="1"/>
  <c r="AI56" i="1" s="1"/>
  <c r="I57" i="1"/>
  <c r="J57" i="1" s="1"/>
  <c r="K57" i="1" s="1"/>
  <c r="M57" i="1" s="1"/>
  <c r="E57" i="1"/>
  <c r="G57" i="1"/>
  <c r="AG56" i="1"/>
  <c r="L57" i="1" l="1"/>
  <c r="AK57" i="1" s="1"/>
  <c r="L7" i="1"/>
  <c r="M2" i="1" s="1"/>
  <c r="AF57" i="1"/>
  <c r="AD57" i="1"/>
  <c r="AE57" i="1" s="1"/>
  <c r="AH57" i="1" l="1"/>
  <c r="AI57" i="1" s="1"/>
  <c r="AF4" i="1" s="1"/>
  <c r="F38" i="2" s="1"/>
  <c r="AG57" i="1"/>
</calcChain>
</file>

<file path=xl/sharedStrings.xml><?xml version="1.0" encoding="utf-8"?>
<sst xmlns="http://schemas.openxmlformats.org/spreadsheetml/2006/main" count="161" uniqueCount="105">
  <si>
    <t>Assets</t>
  </si>
  <si>
    <t>Age</t>
  </si>
  <si>
    <t>iwr</t>
  </si>
  <si>
    <t>inflation</t>
  </si>
  <si>
    <t>WITH ALDA</t>
  </si>
  <si>
    <t>PAYS</t>
  </si>
  <si>
    <t>STARTS AT AGE</t>
  </si>
  <si>
    <t>End</t>
  </si>
  <si>
    <t>portf growth</t>
  </si>
  <si>
    <t>ALDA or NO ALDA?</t>
  </si>
  <si>
    <t>Assumed Portfolio Growth Rate:</t>
  </si>
  <si>
    <t>starting age:</t>
  </si>
  <si>
    <t>Alda pays:</t>
  </si>
  <si>
    <t>min?</t>
  </si>
  <si>
    <t>buy ALDA age:</t>
  </si>
  <si>
    <t>Current Age:</t>
  </si>
  <si>
    <t>cur age:</t>
  </si>
  <si>
    <t>buyALDAage:</t>
  </si>
  <si>
    <t>ret age:</t>
  </si>
  <si>
    <t>Retirement Age:</t>
  </si>
  <si>
    <t>Annual Savings until retirement:</t>
  </si>
  <si>
    <t>annsavtillret:</t>
  </si>
  <si>
    <t>cur ass:</t>
  </si>
  <si>
    <t>buyage:</t>
  </si>
  <si>
    <t>fv limit:</t>
  </si>
  <si>
    <t>of ALDA</t>
  </si>
  <si>
    <t>Marginal Tax Bracket:</t>
  </si>
  <si>
    <t xml:space="preserve">cumulative </t>
  </si>
  <si>
    <t>RRIF ONLY  - NO ALDA</t>
  </si>
  <si>
    <t>Added</t>
  </si>
  <si>
    <t>at Start</t>
  </si>
  <si>
    <t>Growth</t>
  </si>
  <si>
    <t>Minimum</t>
  </si>
  <si>
    <t xml:space="preserve">Mandatory </t>
  </si>
  <si>
    <t>Withdrawal</t>
  </si>
  <si>
    <t>Required</t>
  </si>
  <si>
    <t>Income</t>
  </si>
  <si>
    <t>Initial</t>
  </si>
  <si>
    <t>Rate</t>
  </si>
  <si>
    <t>Need</t>
  </si>
  <si>
    <t>to</t>
  </si>
  <si>
    <t>Withdraw</t>
  </si>
  <si>
    <t>at End</t>
  </si>
  <si>
    <t>Available</t>
  </si>
  <si>
    <t>Shortfall</t>
  </si>
  <si>
    <t>RRIF</t>
  </si>
  <si>
    <t>ALDA</t>
  </si>
  <si>
    <t>Total</t>
  </si>
  <si>
    <t>rif conv:</t>
  </si>
  <si>
    <t xml:space="preserve">to Purchase </t>
  </si>
  <si>
    <t xml:space="preserve">from </t>
  </si>
  <si>
    <t xml:space="preserve">RRIF and ALDA </t>
  </si>
  <si>
    <t>Tax</t>
  </si>
  <si>
    <t>Advantage</t>
  </si>
  <si>
    <t>by age</t>
  </si>
  <si>
    <t>cumulative</t>
  </si>
  <si>
    <t>Combined</t>
  </si>
  <si>
    <t xml:space="preserve">Advantage </t>
  </si>
  <si>
    <t>Notes for Cumulative Advantage Chart:</t>
  </si>
  <si>
    <t>Advantage of ALDA</t>
  </si>
  <si>
    <t>OAS</t>
  </si>
  <si>
    <t>Clawback</t>
  </si>
  <si>
    <t>Start</t>
  </si>
  <si>
    <t>Difference</t>
  </si>
  <si>
    <t>65 TO 74</t>
  </si>
  <si>
    <t>75 +</t>
  </si>
  <si>
    <t>ALDA Information:</t>
  </si>
  <si>
    <t>Assumed Future Inflation Rate:</t>
  </si>
  <si>
    <t>**</t>
  </si>
  <si>
    <t>The tax component is the cumulative advantage of the tax deferral.</t>
  </si>
  <si>
    <t>The tax component does not include  OAS clawback amounts.</t>
  </si>
  <si>
    <t>The income component is the cumulative income difference when ALDA is purchased.</t>
  </si>
  <si>
    <r>
      <rPr>
        <b/>
        <sz val="8"/>
        <color theme="1"/>
        <rFont val="Calibri"/>
        <family val="2"/>
        <scheme val="minor"/>
      </rPr>
      <t xml:space="preserve">** </t>
    </r>
    <r>
      <rPr>
        <sz val="8"/>
        <color theme="1"/>
        <rFont val="Calibri"/>
        <family val="2"/>
        <scheme val="minor"/>
      </rPr>
      <t xml:space="preserve"> in current dollars</t>
    </r>
  </si>
  <si>
    <t>Current RRIF Assets:</t>
  </si>
  <si>
    <t>Clawback threshold:</t>
  </si>
  <si>
    <t>(for 2024)</t>
  </si>
  <si>
    <t>Your OAS benefit (before clawback):</t>
  </si>
  <si>
    <t>per month</t>
  </si>
  <si>
    <t>Used:</t>
  </si>
  <si>
    <t>Max allow</t>
  </si>
  <si>
    <t>ALDA Premium</t>
  </si>
  <si>
    <t>**   Initial Withdrawal Rate at retirement:</t>
  </si>
  <si>
    <t>Full Clawback</t>
  </si>
  <si>
    <t>before 75</t>
  </si>
  <si>
    <t>75 and older</t>
  </si>
  <si>
    <t>Min RRIF</t>
  </si>
  <si>
    <t>Age of Death:</t>
  </si>
  <si>
    <t>at age of death:</t>
  </si>
  <si>
    <t>the cumulative benefit is:</t>
  </si>
  <si>
    <t xml:space="preserve">     potential cash-back of ALDA premiums are not included in these calculations. </t>
  </si>
  <si>
    <t xml:space="preserve">Taxes payable by the estate upon death on the remaining RRIF assets and or </t>
  </si>
  <si>
    <t>Annual withdrawals you need:</t>
  </si>
  <si>
    <t>%</t>
  </si>
  <si>
    <t xml:space="preserve">Estate </t>
  </si>
  <si>
    <t>Value</t>
  </si>
  <si>
    <t xml:space="preserve">Estate Value at Death: </t>
  </si>
  <si>
    <t>Combined estate value at death:</t>
  </si>
  <si>
    <t>Estate Value on Death</t>
  </si>
  <si>
    <t xml:space="preserve">only </t>
  </si>
  <si>
    <t>and</t>
  </si>
  <si>
    <t>Maximum  premium:</t>
  </si>
  <si>
    <t>Cash refund:</t>
  </si>
  <si>
    <t>Y</t>
  </si>
  <si>
    <t>cash refund?</t>
  </si>
  <si>
    <t>TRIAL VERSION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</si>
</sst>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164" formatCode="&quot;$&quot;#,##0"/>
    <numFmt numFmtId="165" formatCode="0.0%"/>
    <numFmt numFmtId="166" formatCode="0.0000"/>
  </numFmts>
  <fonts count="12" x14ac:knownFonts="1">
    <font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rgb="FF000000"/>
      <name val="Segoe UI"/>
      <family val="2"/>
    </font>
    <font>
      <b/>
      <sz val="8"/>
      <color theme="1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4">
    <xf numFmtId="0" fontId="0" fillId="0" borderId="0" xfId="0"/>
    <xf numFmtId="0" fontId="0" fillId="0" borderId="0" xfId="0" applyAlignment="1">
      <alignment horizontal="right"/>
    </xf>
    <xf numFmtId="0" fontId="3" fillId="0" borderId="0" xfId="0" applyFont="1" applyAlignment="1">
      <alignment horizontal="right"/>
    </xf>
    <xf numFmtId="165" fontId="5" fillId="0" borderId="0" xfId="1" applyNumberFormat="1" applyFont="1" applyBorder="1" applyAlignment="1">
      <alignment horizontal="left"/>
    </xf>
    <xf numFmtId="0" fontId="0" fillId="3" borderId="0" xfId="0" applyFill="1" applyProtection="1">
      <protection locked="0"/>
    </xf>
    <xf numFmtId="164" fontId="1" fillId="3" borderId="0" xfId="0" applyNumberFormat="1" applyFont="1" applyFill="1" applyProtection="1">
      <protection locked="0"/>
    </xf>
    <xf numFmtId="165" fontId="1" fillId="3" borderId="0" xfId="1" applyNumberFormat="1" applyFont="1" applyFill="1" applyBorder="1" applyProtection="1">
      <protection locked="0"/>
    </xf>
    <xf numFmtId="164" fontId="1" fillId="3" borderId="0" xfId="1" applyNumberFormat="1" applyFont="1" applyFill="1" applyBorder="1" applyProtection="1">
      <protection locked="0"/>
    </xf>
    <xf numFmtId="0" fontId="0" fillId="0" borderId="0" xfId="0" applyProtection="1">
      <protection locked="0"/>
    </xf>
    <xf numFmtId="0" fontId="7" fillId="0" borderId="0" xfId="0" applyFont="1"/>
    <xf numFmtId="0" fontId="5" fillId="0" borderId="0" xfId="0" applyFont="1"/>
    <xf numFmtId="0" fontId="7" fillId="0" borderId="0" xfId="0" applyFont="1" applyAlignment="1">
      <alignment horizontal="right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0" fillId="0" borderId="0" xfId="0" applyProtection="1">
      <protection hidden="1"/>
    </xf>
    <xf numFmtId="9" fontId="0" fillId="0" borderId="0" xfId="0" applyNumberFormat="1" applyProtection="1">
      <protection hidden="1"/>
    </xf>
    <xf numFmtId="0" fontId="0" fillId="0" borderId="0" xfId="0" applyAlignment="1" applyProtection="1">
      <alignment horizontal="right"/>
      <protection hidden="1"/>
    </xf>
    <xf numFmtId="0" fontId="0" fillId="0" borderId="0" xfId="0" applyAlignment="1" applyProtection="1">
      <alignment horizontal="left"/>
      <protection hidden="1"/>
    </xf>
    <xf numFmtId="0" fontId="3" fillId="3" borderId="0" xfId="0" applyFont="1" applyFill="1" applyProtection="1">
      <protection hidden="1"/>
    </xf>
    <xf numFmtId="165" fontId="3" fillId="3" borderId="0" xfId="1" applyNumberFormat="1" applyFont="1" applyFill="1" applyProtection="1">
      <protection hidden="1"/>
    </xf>
    <xf numFmtId="6" fontId="3" fillId="0" borderId="0" xfId="0" applyNumberFormat="1" applyFont="1" applyProtection="1">
      <protection hidden="1"/>
    </xf>
    <xf numFmtId="6" fontId="0" fillId="0" borderId="0" xfId="0" applyNumberFormat="1" applyProtection="1">
      <protection hidden="1"/>
    </xf>
    <xf numFmtId="6" fontId="0" fillId="0" borderId="0" xfId="0" applyNumberFormat="1" applyAlignment="1" applyProtection="1">
      <alignment horizontal="left"/>
      <protection hidden="1"/>
    </xf>
    <xf numFmtId="164" fontId="0" fillId="0" borderId="0" xfId="0" applyNumberFormat="1" applyProtection="1">
      <protection hidden="1"/>
    </xf>
    <xf numFmtId="9" fontId="3" fillId="0" borderId="0" xfId="1" applyFont="1" applyProtection="1">
      <protection hidden="1"/>
    </xf>
    <xf numFmtId="164" fontId="3" fillId="3" borderId="0" xfId="0" applyNumberFormat="1" applyFont="1" applyFill="1" applyProtection="1">
      <protection hidden="1"/>
    </xf>
    <xf numFmtId="164" fontId="3" fillId="3" borderId="0" xfId="1" applyNumberFormat="1" applyFont="1" applyFill="1" applyProtection="1">
      <protection hidden="1"/>
    </xf>
    <xf numFmtId="164" fontId="3" fillId="0" borderId="0" xfId="0" applyNumberFormat="1" applyFont="1" applyProtection="1">
      <protection hidden="1"/>
    </xf>
    <xf numFmtId="0" fontId="3" fillId="2" borderId="0" xfId="0" applyFont="1" applyFill="1" applyProtection="1">
      <protection hidden="1"/>
    </xf>
    <xf numFmtId="165" fontId="3" fillId="2" borderId="0" xfId="0" applyNumberFormat="1" applyFont="1" applyFill="1" applyProtection="1">
      <protection hidden="1"/>
    </xf>
    <xf numFmtId="0" fontId="0" fillId="4" borderId="3" xfId="0" applyFill="1" applyBorder="1" applyProtection="1">
      <protection hidden="1"/>
    </xf>
    <xf numFmtId="0" fontId="0" fillId="4" borderId="4" xfId="0" applyFill="1" applyBorder="1" applyProtection="1">
      <protection hidden="1"/>
    </xf>
    <xf numFmtId="0" fontId="2" fillId="4" borderId="4" xfId="0" applyFont="1" applyFill="1" applyBorder="1" applyProtection="1">
      <protection hidden="1"/>
    </xf>
    <xf numFmtId="0" fontId="0" fillId="4" borderId="5" xfId="0" applyFill="1" applyBorder="1" applyProtection="1">
      <protection hidden="1"/>
    </xf>
    <xf numFmtId="0" fontId="0" fillId="5" borderId="3" xfId="0" applyFill="1" applyBorder="1" applyProtection="1">
      <protection hidden="1"/>
    </xf>
    <xf numFmtId="0" fontId="0" fillId="5" borderId="4" xfId="0" applyFill="1" applyBorder="1" applyProtection="1">
      <protection hidden="1"/>
    </xf>
    <xf numFmtId="0" fontId="2" fillId="5" borderId="4" xfId="0" applyFont="1" applyFill="1" applyBorder="1" applyProtection="1">
      <protection hidden="1"/>
    </xf>
    <xf numFmtId="0" fontId="3" fillId="5" borderId="4" xfId="0" applyFont="1" applyFill="1" applyBorder="1" applyProtection="1">
      <protection hidden="1"/>
    </xf>
    <xf numFmtId="0" fontId="0" fillId="4" borderId="6" xfId="0" applyFill="1" applyBorder="1" applyProtection="1">
      <protection hidden="1"/>
    </xf>
    <xf numFmtId="0" fontId="0" fillId="4" borderId="0" xfId="0" applyFill="1" applyProtection="1">
      <protection hidden="1"/>
    </xf>
    <xf numFmtId="0" fontId="3" fillId="4" borderId="0" xfId="0" applyFont="1" applyFill="1" applyProtection="1">
      <protection hidden="1"/>
    </xf>
    <xf numFmtId="0" fontId="0" fillId="4" borderId="7" xfId="0" applyFill="1" applyBorder="1" applyProtection="1">
      <protection hidden="1"/>
    </xf>
    <xf numFmtId="0" fontId="0" fillId="5" borderId="6" xfId="0" applyFill="1" applyBorder="1" applyProtection="1">
      <protection hidden="1"/>
    </xf>
    <xf numFmtId="0" fontId="0" fillId="5" borderId="7" xfId="0" applyFill="1" applyBorder="1" applyProtection="1">
      <protection hidden="1"/>
    </xf>
    <xf numFmtId="164" fontId="3" fillId="4" borderId="0" xfId="1" applyNumberFormat="1" applyFont="1" applyFill="1" applyBorder="1" applyAlignment="1" applyProtection="1">
      <alignment horizontal="center" vertical="center"/>
      <protection hidden="1"/>
    </xf>
    <xf numFmtId="0" fontId="3" fillId="4" borderId="0" xfId="0" applyFont="1" applyFill="1" applyAlignment="1" applyProtection="1">
      <alignment horizontal="center" vertical="center"/>
      <protection hidden="1"/>
    </xf>
    <xf numFmtId="0" fontId="3" fillId="4" borderId="7" xfId="0" applyFont="1" applyFill="1" applyBorder="1" applyAlignment="1" applyProtection="1">
      <alignment horizontal="center" vertical="center"/>
      <protection hidden="1"/>
    </xf>
    <xf numFmtId="164" fontId="3" fillId="5" borderId="0" xfId="1" applyNumberFormat="1" applyFont="1" applyFill="1" applyBorder="1" applyAlignment="1" applyProtection="1">
      <alignment horizontal="center" vertical="center"/>
      <protection hidden="1"/>
    </xf>
    <xf numFmtId="0" fontId="3" fillId="5" borderId="7" xfId="0" applyFont="1" applyFill="1" applyBorder="1" applyAlignment="1" applyProtection="1">
      <alignment horizontal="center" vertical="center"/>
      <protection hidden="1"/>
    </xf>
    <xf numFmtId="0" fontId="3" fillId="4" borderId="8" xfId="0" applyFont="1" applyFill="1" applyBorder="1" applyAlignment="1" applyProtection="1">
      <alignment horizontal="center" vertical="center"/>
      <protection hidden="1"/>
    </xf>
    <xf numFmtId="0" fontId="3" fillId="4" borderId="9" xfId="0" applyFont="1" applyFill="1" applyBorder="1" applyAlignment="1" applyProtection="1">
      <alignment horizontal="center" vertical="center"/>
      <protection hidden="1"/>
    </xf>
    <xf numFmtId="0" fontId="3" fillId="4" borderId="10" xfId="0" applyFont="1" applyFill="1" applyBorder="1" applyAlignment="1" applyProtection="1">
      <alignment horizontal="center" vertical="center"/>
      <protection hidden="1"/>
    </xf>
    <xf numFmtId="0" fontId="3" fillId="5" borderId="8" xfId="0" applyFont="1" applyFill="1" applyBorder="1" applyAlignment="1" applyProtection="1">
      <alignment horizontal="center" vertical="center"/>
      <protection hidden="1"/>
    </xf>
    <xf numFmtId="0" fontId="3" fillId="5" borderId="9" xfId="0" applyFont="1" applyFill="1" applyBorder="1" applyAlignment="1" applyProtection="1">
      <alignment horizontal="center" vertical="center"/>
      <protection hidden="1"/>
    </xf>
    <xf numFmtId="0" fontId="3" fillId="5" borderId="10" xfId="0" applyFont="1" applyFill="1" applyBorder="1" applyAlignment="1" applyProtection="1">
      <alignment horizontal="center" vertical="center"/>
      <protection hidden="1"/>
    </xf>
    <xf numFmtId="0" fontId="0" fillId="0" borderId="0" xfId="0" applyAlignment="1" applyProtection="1">
      <alignment vertical="center"/>
      <protection hidden="1"/>
    </xf>
    <xf numFmtId="0" fontId="7" fillId="0" borderId="2" xfId="0" applyFont="1" applyBorder="1" applyAlignment="1" applyProtection="1">
      <alignment horizontal="center" vertical="center"/>
      <protection hidden="1"/>
    </xf>
    <xf numFmtId="164" fontId="3" fillId="0" borderId="2" xfId="0" applyNumberFormat="1" applyFont="1" applyBorder="1" applyAlignment="1" applyProtection="1">
      <alignment vertical="center"/>
      <protection hidden="1"/>
    </xf>
    <xf numFmtId="165" fontId="3" fillId="0" borderId="2" xfId="1" applyNumberFormat="1" applyFont="1" applyBorder="1" applyAlignment="1" applyProtection="1">
      <alignment vertical="center"/>
      <protection hidden="1"/>
    </xf>
    <xf numFmtId="0" fontId="3" fillId="0" borderId="2" xfId="0" applyFont="1" applyBorder="1" applyAlignment="1" applyProtection="1">
      <alignment horizontal="center" vertical="center"/>
      <protection hidden="1"/>
    </xf>
    <xf numFmtId="164" fontId="3" fillId="0" borderId="0" xfId="0" applyNumberFormat="1" applyFont="1" applyAlignment="1" applyProtection="1">
      <alignment vertical="center"/>
      <protection hidden="1"/>
    </xf>
    <xf numFmtId="0" fontId="7" fillId="0" borderId="1" xfId="0" applyFont="1" applyBorder="1" applyAlignment="1" applyProtection="1">
      <alignment horizontal="center" vertical="center"/>
      <protection hidden="1"/>
    </xf>
    <xf numFmtId="164" fontId="3" fillId="0" borderId="1" xfId="0" applyNumberFormat="1" applyFont="1" applyBorder="1" applyAlignment="1" applyProtection="1">
      <alignment vertical="center"/>
      <protection hidden="1"/>
    </xf>
    <xf numFmtId="165" fontId="3" fillId="0" borderId="1" xfId="1" applyNumberFormat="1" applyFont="1" applyBorder="1" applyAlignment="1" applyProtection="1">
      <alignment vertical="center"/>
      <protection hidden="1"/>
    </xf>
    <xf numFmtId="0" fontId="3" fillId="0" borderId="1" xfId="0" applyFont="1" applyBorder="1" applyAlignment="1" applyProtection="1">
      <alignment horizontal="center" vertical="center"/>
      <protection hidden="1"/>
    </xf>
    <xf numFmtId="6" fontId="0" fillId="6" borderId="0" xfId="0" applyNumberFormat="1" applyFill="1" applyAlignment="1" applyProtection="1">
      <alignment horizontal="left"/>
      <protection hidden="1"/>
    </xf>
    <xf numFmtId="0" fontId="0" fillId="0" borderId="3" xfId="0" applyBorder="1"/>
    <xf numFmtId="0" fontId="0" fillId="0" borderId="6" xfId="0" applyBorder="1"/>
    <xf numFmtId="0" fontId="0" fillId="3" borderId="7" xfId="0" applyFill="1" applyBorder="1" applyProtection="1">
      <protection locked="0"/>
    </xf>
    <xf numFmtId="165" fontId="1" fillId="3" borderId="7" xfId="1" applyNumberFormat="1" applyFont="1" applyFill="1" applyBorder="1" applyProtection="1">
      <protection locked="0"/>
    </xf>
    <xf numFmtId="0" fontId="0" fillId="0" borderId="8" xfId="0" applyBorder="1"/>
    <xf numFmtId="0" fontId="7" fillId="0" borderId="4" xfId="0" applyFont="1" applyBorder="1" applyAlignment="1">
      <alignment horizontal="right"/>
    </xf>
    <xf numFmtId="0" fontId="0" fillId="3" borderId="5" xfId="0" applyFill="1" applyBorder="1" applyProtection="1">
      <protection locked="0"/>
    </xf>
    <xf numFmtId="0" fontId="0" fillId="0" borderId="0" xfId="0" applyAlignment="1">
      <alignment horizontal="left"/>
    </xf>
    <xf numFmtId="0" fontId="3" fillId="0" borderId="0" xfId="0" applyFont="1"/>
    <xf numFmtId="164" fontId="9" fillId="0" borderId="0" xfId="0" applyNumberFormat="1" applyFont="1"/>
    <xf numFmtId="0" fontId="10" fillId="0" borderId="0" xfId="0" applyFont="1" applyProtection="1">
      <protection hidden="1"/>
    </xf>
    <xf numFmtId="0" fontId="11" fillId="0" borderId="0" xfId="0" applyFont="1" applyAlignment="1" applyProtection="1">
      <alignment horizontal="center"/>
      <protection hidden="1"/>
    </xf>
    <xf numFmtId="164" fontId="11" fillId="0" borderId="0" xfId="0" applyNumberFormat="1" applyFont="1" applyAlignment="1" applyProtection="1">
      <alignment vertical="center"/>
      <protection locked="0" hidden="1"/>
    </xf>
    <xf numFmtId="0" fontId="3" fillId="3" borderId="3" xfId="0" applyFont="1" applyFill="1" applyBorder="1" applyAlignment="1" applyProtection="1">
      <alignment horizontal="center"/>
      <protection hidden="1"/>
    </xf>
    <xf numFmtId="0" fontId="3" fillId="3" borderId="4" xfId="0" applyFont="1" applyFill="1" applyBorder="1" applyAlignment="1" applyProtection="1">
      <alignment horizontal="center"/>
      <protection hidden="1"/>
    </xf>
    <xf numFmtId="0" fontId="3" fillId="3" borderId="5" xfId="0" applyFont="1" applyFill="1" applyBorder="1" applyAlignment="1" applyProtection="1">
      <alignment horizontal="center"/>
      <protection hidden="1"/>
    </xf>
    <xf numFmtId="0" fontId="3" fillId="3" borderId="6" xfId="0" applyFont="1" applyFill="1" applyBorder="1" applyAlignment="1" applyProtection="1">
      <alignment horizontal="center"/>
      <protection hidden="1"/>
    </xf>
    <xf numFmtId="0" fontId="3" fillId="3" borderId="8" xfId="0" applyFont="1" applyFill="1" applyBorder="1" applyAlignment="1" applyProtection="1">
      <alignment horizontal="center"/>
      <protection hidden="1"/>
    </xf>
    <xf numFmtId="0" fontId="3" fillId="3" borderId="9" xfId="0" applyFont="1" applyFill="1" applyBorder="1" applyAlignment="1" applyProtection="1">
      <alignment horizontal="center"/>
      <protection hidden="1"/>
    </xf>
    <xf numFmtId="0" fontId="3" fillId="3" borderId="10" xfId="0" applyFont="1" applyFill="1" applyBorder="1" applyAlignment="1" applyProtection="1">
      <alignment horizontal="center"/>
      <protection hidden="1"/>
    </xf>
    <xf numFmtId="0" fontId="3" fillId="0" borderId="0" xfId="0" applyFont="1" applyProtection="1">
      <protection locked="0"/>
    </xf>
    <xf numFmtId="0" fontId="3" fillId="0" borderId="11" xfId="0" applyFont="1" applyBorder="1" applyAlignment="1" applyProtection="1">
      <alignment vertical="center"/>
      <protection hidden="1"/>
    </xf>
    <xf numFmtId="10" fontId="3" fillId="0" borderId="11" xfId="1" applyNumberFormat="1" applyFont="1" applyBorder="1" applyAlignment="1" applyProtection="1">
      <alignment horizontal="center" vertical="center"/>
      <protection hidden="1"/>
    </xf>
    <xf numFmtId="0" fontId="3" fillId="0" borderId="1" xfId="0" applyFont="1" applyBorder="1" applyAlignment="1" applyProtection="1">
      <alignment vertical="center"/>
      <protection hidden="1"/>
    </xf>
    <xf numFmtId="10" fontId="3" fillId="0" borderId="1" xfId="1" applyNumberFormat="1" applyFont="1" applyBorder="1" applyAlignment="1" applyProtection="1">
      <alignment horizontal="center" vertical="center"/>
      <protection hidden="1"/>
    </xf>
    <xf numFmtId="0" fontId="3" fillId="3" borderId="0" xfId="0" applyFont="1" applyFill="1" applyAlignment="1" applyProtection="1">
      <alignment horizontal="center"/>
      <protection hidden="1"/>
    </xf>
    <xf numFmtId="0" fontId="0" fillId="3" borderId="5" xfId="0" applyFill="1" applyBorder="1" applyProtection="1">
      <protection hidden="1"/>
    </xf>
    <xf numFmtId="0" fontId="0" fillId="3" borderId="7" xfId="0" applyFill="1" applyBorder="1" applyProtection="1">
      <protection hidden="1"/>
    </xf>
    <xf numFmtId="166" fontId="0" fillId="0" borderId="0" xfId="0" applyNumberFormat="1" applyProtection="1">
      <protection hidden="1"/>
    </xf>
    <xf numFmtId="0" fontId="3" fillId="0" borderId="9" xfId="0" applyFont="1" applyBorder="1" applyAlignment="1">
      <alignment horizontal="right"/>
    </xf>
    <xf numFmtId="0" fontId="4" fillId="0" borderId="0" xfId="0" applyFont="1"/>
    <xf numFmtId="0" fontId="6" fillId="0" borderId="0" xfId="0" applyFont="1" applyAlignment="1">
      <alignment horizontal="right"/>
    </xf>
    <xf numFmtId="1" fontId="1" fillId="3" borderId="0" xfId="1" applyNumberFormat="1" applyFont="1" applyFill="1" applyBorder="1" applyProtection="1">
      <protection locked="0"/>
    </xf>
    <xf numFmtId="6" fontId="7" fillId="0" borderId="0" xfId="0" applyNumberFormat="1" applyFont="1" applyAlignment="1">
      <alignment horizontal="left"/>
    </xf>
    <xf numFmtId="0" fontId="3" fillId="4" borderId="4" xfId="0" applyFont="1" applyFill="1" applyBorder="1" applyAlignment="1" applyProtection="1">
      <alignment horizontal="right"/>
      <protection hidden="1"/>
    </xf>
    <xf numFmtId="164" fontId="3" fillId="4" borderId="4" xfId="0" applyNumberFormat="1" applyFont="1" applyFill="1" applyBorder="1" applyAlignment="1" applyProtection="1">
      <alignment horizontal="left"/>
      <protection hidden="1"/>
    </xf>
    <xf numFmtId="0" fontId="0" fillId="5" borderId="0" xfId="0" applyFill="1" applyProtection="1">
      <protection hidden="1"/>
    </xf>
    <xf numFmtId="0" fontId="3" fillId="5" borderId="0" xfId="0" applyFont="1" applyFill="1" applyAlignment="1" applyProtection="1">
      <alignment horizontal="center" vertical="center"/>
      <protection hidden="1"/>
    </xf>
    <xf numFmtId="0" fontId="3" fillId="5" borderId="4" xfId="0" applyFont="1" applyFill="1" applyBorder="1" applyAlignment="1" applyProtection="1">
      <alignment horizontal="right"/>
      <protection hidden="1"/>
    </xf>
    <xf numFmtId="0" fontId="3" fillId="5" borderId="0" xfId="0" applyFont="1" applyFill="1" applyProtection="1">
      <protection hidden="1"/>
    </xf>
    <xf numFmtId="164" fontId="3" fillId="5" borderId="5" xfId="0" applyNumberFormat="1" applyFont="1" applyFill="1" applyBorder="1" applyAlignment="1" applyProtection="1">
      <alignment horizontal="left"/>
      <protection hidden="1"/>
    </xf>
    <xf numFmtId="164" fontId="3" fillId="0" borderId="11" xfId="0" applyNumberFormat="1" applyFont="1" applyBorder="1" applyAlignment="1" applyProtection="1">
      <alignment vertical="center"/>
      <protection hidden="1"/>
    </xf>
    <xf numFmtId="0" fontId="7" fillId="0" borderId="0" xfId="0" applyFont="1" applyProtection="1">
      <protection hidden="1"/>
    </xf>
    <xf numFmtId="0" fontId="7" fillId="0" borderId="0" xfId="0" applyFont="1" applyAlignment="1" applyProtection="1">
      <alignment horizontal="right"/>
      <protection hidden="1"/>
    </xf>
    <xf numFmtId="164" fontId="7" fillId="0" borderId="0" xfId="0" applyNumberFormat="1" applyFont="1" applyAlignment="1" applyProtection="1">
      <alignment horizontal="left"/>
      <protection hidden="1"/>
    </xf>
    <xf numFmtId="164" fontId="7" fillId="0" borderId="0" xfId="0" applyNumberFormat="1" applyFont="1" applyAlignment="1">
      <alignment horizontal="left"/>
    </xf>
    <xf numFmtId="0" fontId="3" fillId="5" borderId="7" xfId="0" applyFont="1" applyFill="1" applyBorder="1" applyAlignment="1" applyProtection="1">
      <alignment horizontal="center"/>
      <protection hidden="1"/>
    </xf>
    <xf numFmtId="0" fontId="0" fillId="7" borderId="3" xfId="0" applyFill="1" applyBorder="1" applyProtection="1">
      <protection hidden="1"/>
    </xf>
    <xf numFmtId="0" fontId="3" fillId="7" borderId="4" xfId="0" applyFont="1" applyFill="1" applyBorder="1" applyAlignment="1" applyProtection="1">
      <alignment horizontal="center" vertical="center"/>
      <protection hidden="1"/>
    </xf>
    <xf numFmtId="0" fontId="2" fillId="7" borderId="4" xfId="0" applyFont="1" applyFill="1" applyBorder="1" applyProtection="1">
      <protection hidden="1"/>
    </xf>
    <xf numFmtId="0" fontId="3" fillId="7" borderId="5" xfId="0" applyFont="1" applyFill="1" applyBorder="1" applyAlignment="1" applyProtection="1">
      <alignment horizontal="center" vertical="center"/>
      <protection hidden="1"/>
    </xf>
    <xf numFmtId="0" fontId="0" fillId="7" borderId="6" xfId="0" applyFill="1" applyBorder="1" applyProtection="1">
      <protection hidden="1"/>
    </xf>
    <xf numFmtId="0" fontId="3" fillId="7" borderId="0" xfId="0" applyFont="1" applyFill="1" applyAlignment="1" applyProtection="1">
      <alignment horizontal="center" vertical="center"/>
      <protection hidden="1"/>
    </xf>
    <xf numFmtId="0" fontId="3" fillId="7" borderId="7" xfId="0" applyFont="1" applyFill="1" applyBorder="1" applyAlignment="1" applyProtection="1">
      <alignment horizontal="center" vertical="center"/>
      <protection hidden="1"/>
    </xf>
    <xf numFmtId="0" fontId="3" fillId="7" borderId="8" xfId="0" applyFont="1" applyFill="1" applyBorder="1" applyAlignment="1" applyProtection="1">
      <alignment horizontal="center" vertical="center"/>
      <protection hidden="1"/>
    </xf>
    <xf numFmtId="0" fontId="3" fillId="7" borderId="9" xfId="0" applyFont="1" applyFill="1" applyBorder="1" applyAlignment="1" applyProtection="1">
      <alignment horizontal="center" vertical="center"/>
      <protection hidden="1"/>
    </xf>
    <xf numFmtId="0" fontId="3" fillId="7" borderId="10" xfId="0" applyFont="1" applyFill="1" applyBorder="1" applyAlignment="1" applyProtection="1">
      <alignment horizontal="center" vertical="center"/>
      <protection hidden="1"/>
    </xf>
    <xf numFmtId="0" fontId="5" fillId="8" borderId="3" xfId="0" applyFont="1" applyFill="1" applyBorder="1" applyAlignment="1" applyProtection="1">
      <alignment horizontal="left"/>
      <protection hidden="1"/>
    </xf>
    <xf numFmtId="0" fontId="5" fillId="8" borderId="5" xfId="0" applyFont="1" applyFill="1" applyBorder="1" applyAlignment="1" applyProtection="1">
      <alignment horizontal="center"/>
      <protection hidden="1"/>
    </xf>
    <xf numFmtId="0" fontId="7" fillId="8" borderId="6" xfId="0" applyFont="1" applyFill="1" applyBorder="1" applyAlignment="1" applyProtection="1">
      <alignment horizontal="center" vertical="center"/>
      <protection hidden="1"/>
    </xf>
    <xf numFmtId="0" fontId="7" fillId="8" borderId="7" xfId="0" applyFont="1" applyFill="1" applyBorder="1" applyAlignment="1" applyProtection="1">
      <alignment horizontal="center" vertical="center"/>
      <protection hidden="1"/>
    </xf>
    <xf numFmtId="0" fontId="7" fillId="8" borderId="8" xfId="0" applyFont="1" applyFill="1" applyBorder="1" applyAlignment="1" applyProtection="1">
      <alignment horizontal="center" vertical="center"/>
      <protection hidden="1"/>
    </xf>
    <xf numFmtId="0" fontId="7" fillId="8" borderId="10" xfId="0" applyFont="1" applyFill="1" applyBorder="1" applyAlignment="1" applyProtection="1">
      <alignment horizontal="center" vertical="center"/>
      <protection hidden="1"/>
    </xf>
    <xf numFmtId="164" fontId="0" fillId="3" borderId="7" xfId="0" applyNumberFormat="1" applyFill="1" applyBorder="1" applyProtection="1">
      <protection locked="0"/>
    </xf>
    <xf numFmtId="0" fontId="0" fillId="3" borderId="10" xfId="0" applyFill="1" applyBorder="1" applyAlignment="1">
      <alignment horizontal="center"/>
    </xf>
    <xf numFmtId="0" fontId="0" fillId="0" borderId="0" xfId="0" applyFill="1" applyProtection="1"/>
    <xf numFmtId="164" fontId="1" fillId="0" borderId="0" xfId="0" applyNumberFormat="1" applyFont="1" applyFill="1" applyProtection="1"/>
    <xf numFmtId="0" fontId="6" fillId="0" borderId="0" xfId="0" applyFont="1"/>
  </cellXfs>
  <cellStyles count="2">
    <cellStyle name="Normal" xfId="0" builtinId="0"/>
    <cellStyle name="Percent" xfId="1" builtinId="5"/>
  </cellStyles>
  <dxfs count="1">
    <dxf>
      <font>
        <strike val="0"/>
        <color theme="0"/>
      </font>
      <fill>
        <patternFill patternType="solid">
          <fgColor theme="0"/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Income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4570603674540683"/>
          <c:y val="0.26430555555555557"/>
          <c:w val="0.78643219597550318"/>
          <c:h val="0.62829505686789155"/>
        </c:manualLayout>
      </c:layout>
      <c:barChart>
        <c:barDir val="col"/>
        <c:grouping val="clustered"/>
        <c:varyColors val="0"/>
        <c:ser>
          <c:idx val="2"/>
          <c:order val="0"/>
          <c:tx>
            <c:v> Required</c:v>
          </c:tx>
          <c:spPr>
            <a:solidFill>
              <a:schemeClr val="accent6">
                <a:alpha val="50000"/>
              </a:schemeClr>
            </a:solidFill>
            <a:ln w="12700">
              <a:solidFill>
                <a:schemeClr val="accent6"/>
              </a:solidFill>
            </a:ln>
            <a:effectLst/>
          </c:spPr>
          <c:invertIfNegative val="0"/>
          <c:cat>
            <c:strRef>
              <c:f>Tables!$C$12:$C$57</c:f>
              <c:strCache>
                <c:ptCount val="36"/>
                <c:pt idx="0">
                  <c:v>70</c:v>
                </c:pt>
                <c:pt idx="1">
                  <c:v>71</c:v>
                </c:pt>
                <c:pt idx="2">
                  <c:v>72</c:v>
                </c:pt>
                <c:pt idx="3">
                  <c:v>73</c:v>
                </c:pt>
                <c:pt idx="4">
                  <c:v>74</c:v>
                </c:pt>
                <c:pt idx="5">
                  <c:v>75</c:v>
                </c:pt>
                <c:pt idx="6">
                  <c:v>76</c:v>
                </c:pt>
                <c:pt idx="7">
                  <c:v>77</c:v>
                </c:pt>
                <c:pt idx="8">
                  <c:v>78</c:v>
                </c:pt>
                <c:pt idx="9">
                  <c:v>79</c:v>
                </c:pt>
                <c:pt idx="10">
                  <c:v>80</c:v>
                </c:pt>
                <c:pt idx="11">
                  <c:v>81</c:v>
                </c:pt>
                <c:pt idx="12">
                  <c:v>82</c:v>
                </c:pt>
                <c:pt idx="13">
                  <c:v>83</c:v>
                </c:pt>
                <c:pt idx="14">
                  <c:v>84</c:v>
                </c:pt>
                <c:pt idx="15">
                  <c:v>85</c:v>
                </c:pt>
                <c:pt idx="16">
                  <c:v>86</c:v>
                </c:pt>
                <c:pt idx="17">
                  <c:v>87</c:v>
                </c:pt>
                <c:pt idx="18">
                  <c:v>88</c:v>
                </c:pt>
                <c:pt idx="19">
                  <c:v>89</c:v>
                </c:pt>
                <c:pt idx="20">
                  <c:v>90</c:v>
                </c:pt>
                <c:pt idx="21">
                  <c:v>91</c:v>
                </c:pt>
                <c:pt idx="22">
                  <c:v>92</c:v>
                </c:pt>
                <c:pt idx="23">
                  <c:v>93</c:v>
                </c:pt>
                <c:pt idx="24">
                  <c:v>94</c:v>
                </c:pt>
                <c:pt idx="25">
                  <c:v>95</c:v>
                </c:pt>
                <c:pt idx="26">
                  <c:v>96</c:v>
                </c:pt>
                <c:pt idx="27">
                  <c:v>97</c:v>
                </c:pt>
                <c:pt idx="28">
                  <c:v>98</c:v>
                </c:pt>
                <c:pt idx="29">
                  <c:v>99</c:v>
                </c:pt>
                <c:pt idx="30">
                  <c:v>100</c:v>
                </c:pt>
                <c:pt idx="31">
                  <c:v>101</c:v>
                </c:pt>
                <c:pt idx="32">
                  <c:v>102</c:v>
                </c:pt>
                <c:pt idx="33">
                  <c:v>103</c:v>
                </c:pt>
                <c:pt idx="34">
                  <c:v>104</c:v>
                </c:pt>
                <c:pt idx="35">
                  <c:v>105</c:v>
                </c:pt>
              </c:strCache>
            </c:strRef>
          </c:cat>
          <c:val>
            <c:numRef>
              <c:f>Tables!$D$12:$D$57</c:f>
              <c:numCache>
                <c:formatCode>"$"#,##0</c:formatCode>
                <c:ptCount val="46"/>
                <c:pt idx="0">
                  <c:v>25000</c:v>
                </c:pt>
                <c:pt idx="1">
                  <c:v>25524.999999999996</c:v>
                </c:pt>
                <c:pt idx="2">
                  <c:v>26061.024999999994</c:v>
                </c:pt>
                <c:pt idx="3">
                  <c:v>26608.306524999993</c:v>
                </c:pt>
                <c:pt idx="4">
                  <c:v>27167.080962024989</c:v>
                </c:pt>
                <c:pt idx="5">
                  <c:v>27737.58966222751</c:v>
                </c:pt>
                <c:pt idx="6">
                  <c:v>28320.079045134287</c:v>
                </c:pt>
                <c:pt idx="7">
                  <c:v>28914.800705082103</c:v>
                </c:pt>
                <c:pt idx="8">
                  <c:v>29522.011519888823</c:v>
                </c:pt>
                <c:pt idx="9">
                  <c:v>30141.973761806486</c:v>
                </c:pt>
                <c:pt idx="10">
                  <c:v>30774.955210804419</c:v>
                </c:pt>
                <c:pt idx="11">
                  <c:v>31421.22927023131</c:v>
                </c:pt>
                <c:pt idx="12">
                  <c:v>32081.075084906166</c:v>
                </c:pt>
                <c:pt idx="13">
                  <c:v>32754.777661689193</c:v>
                </c:pt>
                <c:pt idx="14">
                  <c:v>33442.627992584661</c:v>
                </c:pt>
                <c:pt idx="15">
                  <c:v>34144.923180428937</c:v>
                </c:pt>
                <c:pt idx="16">
                  <c:v>34861.96656721794</c:v>
                </c:pt>
                <c:pt idx="17">
                  <c:v>35594.067865129517</c:v>
                </c:pt>
                <c:pt idx="18">
                  <c:v>36341.543290297232</c:v>
                </c:pt>
                <c:pt idx="19">
                  <c:v>37104.71569939347</c:v>
                </c:pt>
                <c:pt idx="20">
                  <c:v>37883.91472908073</c:v>
                </c:pt>
                <c:pt idx="21">
                  <c:v>38679.476938391424</c:v>
                </c:pt>
                <c:pt idx="22">
                  <c:v>39491.745954097642</c:v>
                </c:pt>
                <c:pt idx="23">
                  <c:v>40321.072619133687</c:v>
                </c:pt>
                <c:pt idx="24">
                  <c:v>41167.815144135493</c:v>
                </c:pt>
                <c:pt idx="25">
                  <c:v>42032.339262162335</c:v>
                </c:pt>
                <c:pt idx="26">
                  <c:v>42915.01838666774</c:v>
                </c:pt>
                <c:pt idx="27">
                  <c:v>43816.23377278776</c:v>
                </c:pt>
                <c:pt idx="28">
                  <c:v>44736.3746820163</c:v>
                </c:pt>
                <c:pt idx="29">
                  <c:v>45675.838550338638</c:v>
                </c:pt>
                <c:pt idx="30">
                  <c:v>46635.031159895749</c:v>
                </c:pt>
                <c:pt idx="31">
                  <c:v>47614.366814253553</c:v>
                </c:pt>
                <c:pt idx="32">
                  <c:v>48614.268517352873</c:v>
                </c:pt>
                <c:pt idx="33">
                  <c:v>49635.168156217282</c:v>
                </c:pt>
                <c:pt idx="34">
                  <c:v>50677.506687497837</c:v>
                </c:pt>
                <c:pt idx="35">
                  <c:v>51741.734327935286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185-47C1-A109-E332ADF2F7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597440000"/>
        <c:axId val="597444592"/>
      </c:barChart>
      <c:lineChart>
        <c:grouping val="standard"/>
        <c:varyColors val="0"/>
        <c:ser>
          <c:idx val="0"/>
          <c:order val="1"/>
          <c:tx>
            <c:v>RRIF no ALDA</c:v>
          </c:tx>
          <c:spPr>
            <a:ln w="25400" cap="rnd">
              <a:solidFill>
                <a:srgbClr val="00B0F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Tables!$C$12:$C$57</c:f>
              <c:strCache>
                <c:ptCount val="36"/>
                <c:pt idx="0">
                  <c:v>70</c:v>
                </c:pt>
                <c:pt idx="1">
                  <c:v>71</c:v>
                </c:pt>
                <c:pt idx="2">
                  <c:v>72</c:v>
                </c:pt>
                <c:pt idx="3">
                  <c:v>73</c:v>
                </c:pt>
                <c:pt idx="4">
                  <c:v>74</c:v>
                </c:pt>
                <c:pt idx="5">
                  <c:v>75</c:v>
                </c:pt>
                <c:pt idx="6">
                  <c:v>76</c:v>
                </c:pt>
                <c:pt idx="7">
                  <c:v>77</c:v>
                </c:pt>
                <c:pt idx="8">
                  <c:v>78</c:v>
                </c:pt>
                <c:pt idx="9">
                  <c:v>79</c:v>
                </c:pt>
                <c:pt idx="10">
                  <c:v>80</c:v>
                </c:pt>
                <c:pt idx="11">
                  <c:v>81</c:v>
                </c:pt>
                <c:pt idx="12">
                  <c:v>82</c:v>
                </c:pt>
                <c:pt idx="13">
                  <c:v>83</c:v>
                </c:pt>
                <c:pt idx="14">
                  <c:v>84</c:v>
                </c:pt>
                <c:pt idx="15">
                  <c:v>85</c:v>
                </c:pt>
                <c:pt idx="16">
                  <c:v>86</c:v>
                </c:pt>
                <c:pt idx="17">
                  <c:v>87</c:v>
                </c:pt>
                <c:pt idx="18">
                  <c:v>88</c:v>
                </c:pt>
                <c:pt idx="19">
                  <c:v>89</c:v>
                </c:pt>
                <c:pt idx="20">
                  <c:v>90</c:v>
                </c:pt>
                <c:pt idx="21">
                  <c:v>91</c:v>
                </c:pt>
                <c:pt idx="22">
                  <c:v>92</c:v>
                </c:pt>
                <c:pt idx="23">
                  <c:v>93</c:v>
                </c:pt>
                <c:pt idx="24">
                  <c:v>94</c:v>
                </c:pt>
                <c:pt idx="25">
                  <c:v>95</c:v>
                </c:pt>
                <c:pt idx="26">
                  <c:v>96</c:v>
                </c:pt>
                <c:pt idx="27">
                  <c:v>97</c:v>
                </c:pt>
                <c:pt idx="28">
                  <c:v>98</c:v>
                </c:pt>
                <c:pt idx="29">
                  <c:v>99</c:v>
                </c:pt>
                <c:pt idx="30">
                  <c:v>100</c:v>
                </c:pt>
                <c:pt idx="31">
                  <c:v>101</c:v>
                </c:pt>
                <c:pt idx="32">
                  <c:v>102</c:v>
                </c:pt>
                <c:pt idx="33">
                  <c:v>103</c:v>
                </c:pt>
                <c:pt idx="34">
                  <c:v>104</c:v>
                </c:pt>
                <c:pt idx="35">
                  <c:v>105</c:v>
                </c:pt>
              </c:strCache>
            </c:strRef>
          </c:cat>
          <c:val>
            <c:numRef>
              <c:f>Tables!$K$12:$K$57</c:f>
              <c:numCache>
                <c:formatCode>"$"#,##0</c:formatCode>
                <c:ptCount val="46"/>
                <c:pt idx="0">
                  <c:v>25000</c:v>
                </c:pt>
                <c:pt idx="1">
                  <c:v>25524.999999999996</c:v>
                </c:pt>
                <c:pt idx="2">
                  <c:v>26061.024999999994</c:v>
                </c:pt>
                <c:pt idx="3">
                  <c:v>26608.306524999993</c:v>
                </c:pt>
                <c:pt idx="4">
                  <c:v>27167.080962024989</c:v>
                </c:pt>
                <c:pt idx="5">
                  <c:v>27737.58966222751</c:v>
                </c:pt>
                <c:pt idx="6">
                  <c:v>28320.079045134287</c:v>
                </c:pt>
                <c:pt idx="7">
                  <c:v>28914.800705082103</c:v>
                </c:pt>
                <c:pt idx="8">
                  <c:v>29522.011519888823</c:v>
                </c:pt>
                <c:pt idx="9">
                  <c:v>30141.973761806486</c:v>
                </c:pt>
                <c:pt idx="10">
                  <c:v>30774.955210804419</c:v>
                </c:pt>
                <c:pt idx="11">
                  <c:v>31421.22927023131</c:v>
                </c:pt>
                <c:pt idx="12">
                  <c:v>32081.075084906166</c:v>
                </c:pt>
                <c:pt idx="13">
                  <c:v>32754.777661689193</c:v>
                </c:pt>
                <c:pt idx="14">
                  <c:v>33442.627992584661</c:v>
                </c:pt>
                <c:pt idx="15">
                  <c:v>34144.923180428937</c:v>
                </c:pt>
                <c:pt idx="16">
                  <c:v>34861.96656721794</c:v>
                </c:pt>
                <c:pt idx="17">
                  <c:v>35594.067865129517</c:v>
                </c:pt>
                <c:pt idx="18">
                  <c:v>36341.543290297232</c:v>
                </c:pt>
                <c:pt idx="19">
                  <c:v>37104.71569939347</c:v>
                </c:pt>
                <c:pt idx="20">
                  <c:v>37883.91472908073</c:v>
                </c:pt>
                <c:pt idx="21">
                  <c:v>38679.476938391424</c:v>
                </c:pt>
                <c:pt idx="22">
                  <c:v>34274.967350043997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85-47C1-A109-E332ADF2F798}"/>
            </c:ext>
          </c:extLst>
        </c:ser>
        <c:ser>
          <c:idx val="1"/>
          <c:order val="2"/>
          <c:tx>
            <c:v> RRIF with ALDA</c:v>
          </c:tx>
          <c:spPr>
            <a:ln w="2540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Tables!$C$12:$C$57</c:f>
              <c:strCache>
                <c:ptCount val="36"/>
                <c:pt idx="0">
                  <c:v>70</c:v>
                </c:pt>
                <c:pt idx="1">
                  <c:v>71</c:v>
                </c:pt>
                <c:pt idx="2">
                  <c:v>72</c:v>
                </c:pt>
                <c:pt idx="3">
                  <c:v>73</c:v>
                </c:pt>
                <c:pt idx="4">
                  <c:v>74</c:v>
                </c:pt>
                <c:pt idx="5">
                  <c:v>75</c:v>
                </c:pt>
                <c:pt idx="6">
                  <c:v>76</c:v>
                </c:pt>
                <c:pt idx="7">
                  <c:v>77</c:v>
                </c:pt>
                <c:pt idx="8">
                  <c:v>78</c:v>
                </c:pt>
                <c:pt idx="9">
                  <c:v>79</c:v>
                </c:pt>
                <c:pt idx="10">
                  <c:v>80</c:v>
                </c:pt>
                <c:pt idx="11">
                  <c:v>81</c:v>
                </c:pt>
                <c:pt idx="12">
                  <c:v>82</c:v>
                </c:pt>
                <c:pt idx="13">
                  <c:v>83</c:v>
                </c:pt>
                <c:pt idx="14">
                  <c:v>84</c:v>
                </c:pt>
                <c:pt idx="15">
                  <c:v>85</c:v>
                </c:pt>
                <c:pt idx="16">
                  <c:v>86</c:v>
                </c:pt>
                <c:pt idx="17">
                  <c:v>87</c:v>
                </c:pt>
                <c:pt idx="18">
                  <c:v>88</c:v>
                </c:pt>
                <c:pt idx="19">
                  <c:v>89</c:v>
                </c:pt>
                <c:pt idx="20">
                  <c:v>90</c:v>
                </c:pt>
                <c:pt idx="21">
                  <c:v>91</c:v>
                </c:pt>
                <c:pt idx="22">
                  <c:v>92</c:v>
                </c:pt>
                <c:pt idx="23">
                  <c:v>93</c:v>
                </c:pt>
                <c:pt idx="24">
                  <c:v>94</c:v>
                </c:pt>
                <c:pt idx="25">
                  <c:v>95</c:v>
                </c:pt>
                <c:pt idx="26">
                  <c:v>96</c:v>
                </c:pt>
                <c:pt idx="27">
                  <c:v>97</c:v>
                </c:pt>
                <c:pt idx="28">
                  <c:v>98</c:v>
                </c:pt>
                <c:pt idx="29">
                  <c:v>99</c:v>
                </c:pt>
                <c:pt idx="30">
                  <c:v>100</c:v>
                </c:pt>
                <c:pt idx="31">
                  <c:v>101</c:v>
                </c:pt>
                <c:pt idx="32">
                  <c:v>102</c:v>
                </c:pt>
                <c:pt idx="33">
                  <c:v>103</c:v>
                </c:pt>
                <c:pt idx="34">
                  <c:v>104</c:v>
                </c:pt>
                <c:pt idx="35">
                  <c:v>105</c:v>
                </c:pt>
              </c:strCache>
            </c:strRef>
          </c:cat>
          <c:val>
            <c:numRef>
              <c:f>Tables!$Y$12:$Y$57</c:f>
              <c:numCache>
                <c:formatCode>"$"#,##0</c:formatCode>
                <c:ptCount val="46"/>
                <c:pt idx="0">
                  <c:v>25000</c:v>
                </c:pt>
                <c:pt idx="1">
                  <c:v>25524.999999999996</c:v>
                </c:pt>
                <c:pt idx="2">
                  <c:v>26061.024999999994</c:v>
                </c:pt>
                <c:pt idx="3">
                  <c:v>26608.306524999993</c:v>
                </c:pt>
                <c:pt idx="4">
                  <c:v>27167.080962024989</c:v>
                </c:pt>
                <c:pt idx="5">
                  <c:v>27737.58966222751</c:v>
                </c:pt>
                <c:pt idx="6">
                  <c:v>28320.079045134287</c:v>
                </c:pt>
                <c:pt idx="7">
                  <c:v>28914.800705082103</c:v>
                </c:pt>
                <c:pt idx="8">
                  <c:v>29522.011519888823</c:v>
                </c:pt>
                <c:pt idx="9">
                  <c:v>30141.973761806486</c:v>
                </c:pt>
                <c:pt idx="10">
                  <c:v>30774.955210804419</c:v>
                </c:pt>
                <c:pt idx="11">
                  <c:v>31421.22927023131</c:v>
                </c:pt>
                <c:pt idx="12">
                  <c:v>32081.075084906166</c:v>
                </c:pt>
                <c:pt idx="13">
                  <c:v>32754.777661689193</c:v>
                </c:pt>
                <c:pt idx="14">
                  <c:v>33442.627992584661</c:v>
                </c:pt>
                <c:pt idx="15">
                  <c:v>42203.367318474637</c:v>
                </c:pt>
                <c:pt idx="16">
                  <c:v>42199.852781132904</c:v>
                </c:pt>
                <c:pt idx="17">
                  <c:v>42198.548428219787</c:v>
                </c:pt>
                <c:pt idx="18">
                  <c:v>42199.264280362513</c:v>
                </c:pt>
                <c:pt idx="19">
                  <c:v>42198.624977905565</c:v>
                </c:pt>
                <c:pt idx="20">
                  <c:v>42194.140976197807</c:v>
                </c:pt>
                <c:pt idx="21">
                  <c:v>42189.457861727256</c:v>
                </c:pt>
                <c:pt idx="22">
                  <c:v>42184.716697745156</c:v>
                </c:pt>
                <c:pt idx="23">
                  <c:v>42181.119585393251</c:v>
                </c:pt>
                <c:pt idx="24">
                  <c:v>42170.291703150317</c:v>
                </c:pt>
                <c:pt idx="25">
                  <c:v>42032.339262162335</c:v>
                </c:pt>
                <c:pt idx="26">
                  <c:v>42915.01838666774</c:v>
                </c:pt>
                <c:pt idx="27">
                  <c:v>43816.23377278776</c:v>
                </c:pt>
                <c:pt idx="28">
                  <c:v>43748.492397394664</c:v>
                </c:pt>
                <c:pt idx="29">
                  <c:v>37500</c:v>
                </c:pt>
                <c:pt idx="30">
                  <c:v>37500</c:v>
                </c:pt>
                <c:pt idx="31">
                  <c:v>37500</c:v>
                </c:pt>
                <c:pt idx="32">
                  <c:v>37500</c:v>
                </c:pt>
                <c:pt idx="33">
                  <c:v>37500</c:v>
                </c:pt>
                <c:pt idx="34">
                  <c:v>37500</c:v>
                </c:pt>
                <c:pt idx="35">
                  <c:v>37500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85-47C1-A109-E332ADF2F798}"/>
            </c:ext>
          </c:extLst>
        </c:ser>
        <c:ser>
          <c:idx val="3"/>
          <c:order val="3"/>
          <c:spPr>
            <a:ln w="19050" cap="rnd">
              <a:noFill/>
              <a:round/>
            </a:ln>
            <a:effectLst/>
          </c:spPr>
          <c:marker>
            <c:symbol val="none"/>
          </c:marker>
          <c:errBars>
            <c:errDir val="y"/>
            <c:errBarType val="both"/>
            <c:errValType val="cust"/>
            <c:noEndCap val="1"/>
            <c:plus>
              <c:numRef>
                <c:f>Tables!$AR$12:$AR$57</c:f>
                <c:numCache>
                  <c:formatCode>General</c:formatCode>
                  <c:ptCount val="46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  <c:pt idx="5">
                    <c:v>0</c:v>
                  </c:pt>
                  <c:pt idx="6">
                    <c:v>0</c:v>
                  </c:pt>
                  <c:pt idx="7">
                    <c:v>0</c:v>
                  </c:pt>
                  <c:pt idx="8">
                    <c:v>0</c:v>
                  </c:pt>
                  <c:pt idx="9">
                    <c:v>0</c:v>
                  </c:pt>
                  <c:pt idx="10">
                    <c:v>0</c:v>
                  </c:pt>
                  <c:pt idx="11">
                    <c:v>0</c:v>
                  </c:pt>
                  <c:pt idx="12">
                    <c:v>0</c:v>
                  </c:pt>
                  <c:pt idx="13">
                    <c:v>0</c:v>
                  </c:pt>
                  <c:pt idx="14">
                    <c:v>0</c:v>
                  </c:pt>
                  <c:pt idx="15">
                    <c:v>0</c:v>
                  </c:pt>
                  <c:pt idx="16">
                    <c:v>0</c:v>
                  </c:pt>
                  <c:pt idx="17">
                    <c:v>0</c:v>
                  </c:pt>
                  <c:pt idx="18">
                    <c:v>0</c:v>
                  </c:pt>
                  <c:pt idx="19">
                    <c:v>0</c:v>
                  </c:pt>
                  <c:pt idx="20">
                    <c:v>0</c:v>
                  </c:pt>
                  <c:pt idx="21">
                    <c:v>0</c:v>
                  </c:pt>
                  <c:pt idx="22">
                    <c:v>0</c:v>
                  </c:pt>
                  <c:pt idx="23">
                    <c:v>0</c:v>
                  </c:pt>
                  <c:pt idx="24">
                    <c:v>0</c:v>
                  </c:pt>
                  <c:pt idx="25">
                    <c:v>0</c:v>
                  </c:pt>
                  <c:pt idx="26">
                    <c:v>0</c:v>
                  </c:pt>
                  <c:pt idx="27">
                    <c:v>0</c:v>
                  </c:pt>
                  <c:pt idx="28">
                    <c:v>0</c:v>
                  </c:pt>
                  <c:pt idx="29">
                    <c:v>0</c:v>
                  </c:pt>
                  <c:pt idx="30">
                    <c:v>0</c:v>
                  </c:pt>
                  <c:pt idx="31">
                    <c:v>0</c:v>
                  </c:pt>
                  <c:pt idx="32">
                    <c:v>0</c:v>
                  </c:pt>
                  <c:pt idx="33">
                    <c:v>0</c:v>
                  </c:pt>
                  <c:pt idx="34">
                    <c:v>0</c:v>
                  </c:pt>
                  <c:pt idx="35">
                    <c:v>0</c:v>
                  </c:pt>
                  <c:pt idx="36">
                    <c:v>0</c:v>
                  </c:pt>
                  <c:pt idx="37">
                    <c:v>0</c:v>
                  </c:pt>
                  <c:pt idx="38">
                    <c:v>0</c:v>
                  </c:pt>
                  <c:pt idx="39">
                    <c:v>0</c:v>
                  </c:pt>
                  <c:pt idx="40">
                    <c:v>0</c:v>
                  </c:pt>
                  <c:pt idx="41">
                    <c:v>0</c:v>
                  </c:pt>
                  <c:pt idx="42">
                    <c:v>0</c:v>
                  </c:pt>
                  <c:pt idx="43">
                    <c:v>0</c:v>
                  </c:pt>
                  <c:pt idx="44">
                    <c:v>0</c:v>
                  </c:pt>
                  <c:pt idx="45">
                    <c:v>0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44450" cap="flat" cmpd="sng" algn="ctr">
                <a:solidFill>
                  <a:schemeClr val="bg1">
                    <a:lumMod val="85000"/>
                  </a:schemeClr>
                </a:solidFill>
                <a:round/>
              </a:ln>
              <a:effectLst/>
            </c:spPr>
          </c:errBars>
          <c:val>
            <c:numRef>
              <c:f>Tables!$AO$12:$AO$57</c:f>
              <c:numCache>
                <c:formatCode>"$"#,##0</c:formatCode>
                <c:ptCount val="4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1D-4060-83C2-F87BBE4A77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7440000"/>
        <c:axId val="597444592"/>
      </c:lineChart>
      <c:catAx>
        <c:axId val="59744000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7444592"/>
        <c:crosses val="autoZero"/>
        <c:auto val="1"/>
        <c:lblAlgn val="ctr"/>
        <c:lblOffset val="10"/>
        <c:tickLblSkip val="5"/>
        <c:tickMarkSkip val="5"/>
        <c:noMultiLvlLbl val="1"/>
      </c:catAx>
      <c:valAx>
        <c:axId val="597444592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7440000"/>
        <c:crosses val="autoZero"/>
        <c:crossBetween val="midCat"/>
      </c:valAx>
      <c:spPr>
        <a:solidFill>
          <a:schemeClr val="bg1"/>
        </a:solidFill>
        <a:ln w="3175">
          <a:solidFill>
            <a:schemeClr val="tx1">
              <a:lumMod val="50000"/>
              <a:lumOff val="50000"/>
            </a:schemeClr>
          </a:solidFill>
        </a:ln>
        <a:effectLst/>
      </c:spPr>
    </c:plotArea>
    <c:legend>
      <c:legendPos val="t"/>
      <c:legendEntry>
        <c:idx val="3"/>
        <c:delete val="1"/>
      </c:legendEntry>
      <c:layout>
        <c:manualLayout>
          <c:xMode val="edge"/>
          <c:yMode val="edge"/>
          <c:x val="0.14424890638670165"/>
          <c:y val="0.14856481481481484"/>
          <c:w val="0.79925967664822561"/>
          <c:h val="9.5017556927005753E-2"/>
        </c:manualLayout>
      </c:layout>
      <c:overlay val="0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Cumulative Advantage of ALDA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6480263770220214"/>
          <c:y val="0.18394122139414848"/>
          <c:w val="0.65166392099923676"/>
          <c:h val="0.44716094372500959"/>
        </c:manualLayout>
      </c:layout>
      <c:barChart>
        <c:barDir val="col"/>
        <c:grouping val="clustered"/>
        <c:varyColors val="0"/>
        <c:ser>
          <c:idx val="2"/>
          <c:order val="2"/>
          <c:tx>
            <c:v> Combined</c:v>
          </c:tx>
          <c:spPr>
            <a:solidFill>
              <a:srgbClr val="92D050"/>
            </a:solidFill>
            <a:ln>
              <a:solidFill>
                <a:schemeClr val="accent6"/>
              </a:solidFill>
            </a:ln>
            <a:effectLst/>
          </c:spPr>
          <c:invertIfNegative val="0"/>
          <c:dPt>
            <c:idx val="19"/>
            <c:invertIfNegative val="0"/>
            <c:bubble3D val="0"/>
            <c:spPr>
              <a:solidFill>
                <a:srgbClr val="92D050"/>
              </a:solidFill>
              <a:ln>
                <a:solidFill>
                  <a:schemeClr val="accent6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D358-4FCB-9599-7D407340CD86}"/>
              </c:ext>
            </c:extLst>
          </c:dPt>
          <c:cat>
            <c:strRef>
              <c:f>Tables!$C$12:$C$57</c:f>
              <c:strCache>
                <c:ptCount val="36"/>
                <c:pt idx="0">
                  <c:v>70</c:v>
                </c:pt>
                <c:pt idx="1">
                  <c:v>71</c:v>
                </c:pt>
                <c:pt idx="2">
                  <c:v>72</c:v>
                </c:pt>
                <c:pt idx="3">
                  <c:v>73</c:v>
                </c:pt>
                <c:pt idx="4">
                  <c:v>74</c:v>
                </c:pt>
                <c:pt idx="5">
                  <c:v>75</c:v>
                </c:pt>
                <c:pt idx="6">
                  <c:v>76</c:v>
                </c:pt>
                <c:pt idx="7">
                  <c:v>77</c:v>
                </c:pt>
                <c:pt idx="8">
                  <c:v>78</c:v>
                </c:pt>
                <c:pt idx="9">
                  <c:v>79</c:v>
                </c:pt>
                <c:pt idx="10">
                  <c:v>80</c:v>
                </c:pt>
                <c:pt idx="11">
                  <c:v>81</c:v>
                </c:pt>
                <c:pt idx="12">
                  <c:v>82</c:v>
                </c:pt>
                <c:pt idx="13">
                  <c:v>83</c:v>
                </c:pt>
                <c:pt idx="14">
                  <c:v>84</c:v>
                </c:pt>
                <c:pt idx="15">
                  <c:v>85</c:v>
                </c:pt>
                <c:pt idx="16">
                  <c:v>86</c:v>
                </c:pt>
                <c:pt idx="17">
                  <c:v>87</c:v>
                </c:pt>
                <c:pt idx="18">
                  <c:v>88</c:v>
                </c:pt>
                <c:pt idx="19">
                  <c:v>89</c:v>
                </c:pt>
                <c:pt idx="20">
                  <c:v>90</c:v>
                </c:pt>
                <c:pt idx="21">
                  <c:v>91</c:v>
                </c:pt>
                <c:pt idx="22">
                  <c:v>92</c:v>
                </c:pt>
                <c:pt idx="23">
                  <c:v>93</c:v>
                </c:pt>
                <c:pt idx="24">
                  <c:v>94</c:v>
                </c:pt>
                <c:pt idx="25">
                  <c:v>95</c:v>
                </c:pt>
                <c:pt idx="26">
                  <c:v>96</c:v>
                </c:pt>
                <c:pt idx="27">
                  <c:v>97</c:v>
                </c:pt>
                <c:pt idx="28">
                  <c:v>98</c:v>
                </c:pt>
                <c:pt idx="29">
                  <c:v>99</c:v>
                </c:pt>
                <c:pt idx="30">
                  <c:v>100</c:v>
                </c:pt>
                <c:pt idx="31">
                  <c:v>101</c:v>
                </c:pt>
                <c:pt idx="32">
                  <c:v>102</c:v>
                </c:pt>
                <c:pt idx="33">
                  <c:v>103</c:v>
                </c:pt>
                <c:pt idx="34">
                  <c:v>104</c:v>
                </c:pt>
                <c:pt idx="35">
                  <c:v>105</c:v>
                </c:pt>
              </c:strCache>
            </c:strRef>
          </c:cat>
          <c:val>
            <c:numRef>
              <c:f>Tables!$AI$12:$AI$57</c:f>
              <c:numCache>
                <c:formatCode>"$"#,##0</c:formatCode>
                <c:ptCount val="4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-2417.5332414137097</c:v>
                </c:pt>
                <c:pt idx="16">
                  <c:v>-4618.8991055881988</c:v>
                </c:pt>
                <c:pt idx="17">
                  <c:v>-6600.2432745152801</c:v>
                </c:pt>
                <c:pt idx="18">
                  <c:v>-8357.5595715348645</c:v>
                </c:pt>
                <c:pt idx="19">
                  <c:v>-9885.7323550884939</c:v>
                </c:pt>
                <c:pt idx="20">
                  <c:v>-11178.800229223616</c:v>
                </c:pt>
                <c:pt idx="21">
                  <c:v>-12231.794506224365</c:v>
                </c:pt>
                <c:pt idx="22">
                  <c:v>-7015.0159021707204</c:v>
                </c:pt>
                <c:pt idx="23">
                  <c:v>33306.056716962965</c:v>
                </c:pt>
                <c:pt idx="24">
                  <c:v>74473.871861098451</c:v>
                </c:pt>
                <c:pt idx="25">
                  <c:v>116506.21112326079</c:v>
                </c:pt>
                <c:pt idx="26">
                  <c:v>159421.22950992853</c:v>
                </c:pt>
                <c:pt idx="27">
                  <c:v>203237.46328271629</c:v>
                </c:pt>
                <c:pt idx="28">
                  <c:v>246985.95568011096</c:v>
                </c:pt>
                <c:pt idx="29">
                  <c:v>284485.95568011096</c:v>
                </c:pt>
                <c:pt idx="30">
                  <c:v>321985.95568011096</c:v>
                </c:pt>
                <c:pt idx="31">
                  <c:v>359485.95568011096</c:v>
                </c:pt>
                <c:pt idx="32">
                  <c:v>396985.95568011096</c:v>
                </c:pt>
                <c:pt idx="33">
                  <c:v>434485.95568011096</c:v>
                </c:pt>
                <c:pt idx="34">
                  <c:v>471985.95568011096</c:v>
                </c:pt>
                <c:pt idx="35">
                  <c:v>509485.95568011096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358-4FCB-9599-7D407340CD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axId val="597440000"/>
        <c:axId val="597444592"/>
      </c:barChart>
      <c:lineChart>
        <c:grouping val="standard"/>
        <c:varyColors val="0"/>
        <c:ser>
          <c:idx val="0"/>
          <c:order val="0"/>
          <c:tx>
            <c:v> Tax Advantage</c:v>
          </c:tx>
          <c:spPr>
            <a:ln w="19050" cap="rnd">
              <a:solidFill>
                <a:srgbClr val="00B0F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Tables!$C$12:$C$57</c:f>
              <c:strCache>
                <c:ptCount val="36"/>
                <c:pt idx="0">
                  <c:v>70</c:v>
                </c:pt>
                <c:pt idx="1">
                  <c:v>71</c:v>
                </c:pt>
                <c:pt idx="2">
                  <c:v>72</c:v>
                </c:pt>
                <c:pt idx="3">
                  <c:v>73</c:v>
                </c:pt>
                <c:pt idx="4">
                  <c:v>74</c:v>
                </c:pt>
                <c:pt idx="5">
                  <c:v>75</c:v>
                </c:pt>
                <c:pt idx="6">
                  <c:v>76</c:v>
                </c:pt>
                <c:pt idx="7">
                  <c:v>77</c:v>
                </c:pt>
                <c:pt idx="8">
                  <c:v>78</c:v>
                </c:pt>
                <c:pt idx="9">
                  <c:v>79</c:v>
                </c:pt>
                <c:pt idx="10">
                  <c:v>80</c:v>
                </c:pt>
                <c:pt idx="11">
                  <c:v>81</c:v>
                </c:pt>
                <c:pt idx="12">
                  <c:v>82</c:v>
                </c:pt>
                <c:pt idx="13">
                  <c:v>83</c:v>
                </c:pt>
                <c:pt idx="14">
                  <c:v>84</c:v>
                </c:pt>
                <c:pt idx="15">
                  <c:v>85</c:v>
                </c:pt>
                <c:pt idx="16">
                  <c:v>86</c:v>
                </c:pt>
                <c:pt idx="17">
                  <c:v>87</c:v>
                </c:pt>
                <c:pt idx="18">
                  <c:v>88</c:v>
                </c:pt>
                <c:pt idx="19">
                  <c:v>89</c:v>
                </c:pt>
                <c:pt idx="20">
                  <c:v>90</c:v>
                </c:pt>
                <c:pt idx="21">
                  <c:v>91</c:v>
                </c:pt>
                <c:pt idx="22">
                  <c:v>92</c:v>
                </c:pt>
                <c:pt idx="23">
                  <c:v>93</c:v>
                </c:pt>
                <c:pt idx="24">
                  <c:v>94</c:v>
                </c:pt>
                <c:pt idx="25">
                  <c:v>95</c:v>
                </c:pt>
                <c:pt idx="26">
                  <c:v>96</c:v>
                </c:pt>
                <c:pt idx="27">
                  <c:v>97</c:v>
                </c:pt>
                <c:pt idx="28">
                  <c:v>98</c:v>
                </c:pt>
                <c:pt idx="29">
                  <c:v>99</c:v>
                </c:pt>
                <c:pt idx="30">
                  <c:v>100</c:v>
                </c:pt>
                <c:pt idx="31">
                  <c:v>101</c:v>
                </c:pt>
                <c:pt idx="32">
                  <c:v>102</c:v>
                </c:pt>
                <c:pt idx="33">
                  <c:v>103</c:v>
                </c:pt>
                <c:pt idx="34">
                  <c:v>104</c:v>
                </c:pt>
                <c:pt idx="35">
                  <c:v>105</c:v>
                </c:pt>
              </c:strCache>
            </c:strRef>
          </c:cat>
          <c:val>
            <c:numRef>
              <c:f>Tables!$AE$12:$AE$57</c:f>
              <c:numCache>
                <c:formatCode>"$"#,##0</c:formatCode>
                <c:ptCount val="4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-2417.5332414137097</c:v>
                </c:pt>
                <c:pt idx="16">
                  <c:v>-4618.8991055881988</c:v>
                </c:pt>
                <c:pt idx="17">
                  <c:v>-6600.2432745152801</c:v>
                </c:pt>
                <c:pt idx="18">
                  <c:v>-8357.5595715348645</c:v>
                </c:pt>
                <c:pt idx="19">
                  <c:v>-9885.7323550884939</c:v>
                </c:pt>
                <c:pt idx="20">
                  <c:v>-11178.800229223616</c:v>
                </c:pt>
                <c:pt idx="21">
                  <c:v>-12231.794506224365</c:v>
                </c:pt>
                <c:pt idx="22">
                  <c:v>-12231.794506224365</c:v>
                </c:pt>
                <c:pt idx="23">
                  <c:v>-12231.794506224365</c:v>
                </c:pt>
                <c:pt idx="24">
                  <c:v>-12231.794506224365</c:v>
                </c:pt>
                <c:pt idx="25">
                  <c:v>-12231.794506224365</c:v>
                </c:pt>
                <c:pt idx="26">
                  <c:v>-12231.794506224365</c:v>
                </c:pt>
                <c:pt idx="27">
                  <c:v>-12231.794506224365</c:v>
                </c:pt>
                <c:pt idx="28">
                  <c:v>-12231.794506224365</c:v>
                </c:pt>
                <c:pt idx="29">
                  <c:v>-12231.794506224365</c:v>
                </c:pt>
                <c:pt idx="30">
                  <c:v>-12231.794506224365</c:v>
                </c:pt>
                <c:pt idx="31">
                  <c:v>-12231.794506224365</c:v>
                </c:pt>
                <c:pt idx="32">
                  <c:v>-12231.794506224365</c:v>
                </c:pt>
                <c:pt idx="33">
                  <c:v>-12231.794506224365</c:v>
                </c:pt>
                <c:pt idx="34">
                  <c:v>-12231.794506224365</c:v>
                </c:pt>
                <c:pt idx="35">
                  <c:v>-12231.794506224365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58-4FCB-9599-7D407340CD86}"/>
            </c:ext>
          </c:extLst>
        </c:ser>
        <c:ser>
          <c:idx val="1"/>
          <c:order val="1"/>
          <c:tx>
            <c:v> Income Advantage</c:v>
          </c:tx>
          <c:spPr>
            <a:ln w="19050" cap="rnd">
              <a:solidFill>
                <a:srgbClr val="FF0000"/>
              </a:solidFill>
              <a:prstDash val="lgDash"/>
              <a:round/>
            </a:ln>
            <a:effectLst/>
          </c:spPr>
          <c:marker>
            <c:symbol val="none"/>
          </c:marker>
          <c:cat>
            <c:strRef>
              <c:f>Tables!$C$12:$C$57</c:f>
              <c:strCache>
                <c:ptCount val="36"/>
                <c:pt idx="0">
                  <c:v>70</c:v>
                </c:pt>
                <c:pt idx="1">
                  <c:v>71</c:v>
                </c:pt>
                <c:pt idx="2">
                  <c:v>72</c:v>
                </c:pt>
                <c:pt idx="3">
                  <c:v>73</c:v>
                </c:pt>
                <c:pt idx="4">
                  <c:v>74</c:v>
                </c:pt>
                <c:pt idx="5">
                  <c:v>75</c:v>
                </c:pt>
                <c:pt idx="6">
                  <c:v>76</c:v>
                </c:pt>
                <c:pt idx="7">
                  <c:v>77</c:v>
                </c:pt>
                <c:pt idx="8">
                  <c:v>78</c:v>
                </c:pt>
                <c:pt idx="9">
                  <c:v>79</c:v>
                </c:pt>
                <c:pt idx="10">
                  <c:v>80</c:v>
                </c:pt>
                <c:pt idx="11">
                  <c:v>81</c:v>
                </c:pt>
                <c:pt idx="12">
                  <c:v>82</c:v>
                </c:pt>
                <c:pt idx="13">
                  <c:v>83</c:v>
                </c:pt>
                <c:pt idx="14">
                  <c:v>84</c:v>
                </c:pt>
                <c:pt idx="15">
                  <c:v>85</c:v>
                </c:pt>
                <c:pt idx="16">
                  <c:v>86</c:v>
                </c:pt>
                <c:pt idx="17">
                  <c:v>87</c:v>
                </c:pt>
                <c:pt idx="18">
                  <c:v>88</c:v>
                </c:pt>
                <c:pt idx="19">
                  <c:v>89</c:v>
                </c:pt>
                <c:pt idx="20">
                  <c:v>90</c:v>
                </c:pt>
                <c:pt idx="21">
                  <c:v>91</c:v>
                </c:pt>
                <c:pt idx="22">
                  <c:v>92</c:v>
                </c:pt>
                <c:pt idx="23">
                  <c:v>93</c:v>
                </c:pt>
                <c:pt idx="24">
                  <c:v>94</c:v>
                </c:pt>
                <c:pt idx="25">
                  <c:v>95</c:v>
                </c:pt>
                <c:pt idx="26">
                  <c:v>96</c:v>
                </c:pt>
                <c:pt idx="27">
                  <c:v>97</c:v>
                </c:pt>
                <c:pt idx="28">
                  <c:v>98</c:v>
                </c:pt>
                <c:pt idx="29">
                  <c:v>99</c:v>
                </c:pt>
                <c:pt idx="30">
                  <c:v>100</c:v>
                </c:pt>
                <c:pt idx="31">
                  <c:v>101</c:v>
                </c:pt>
                <c:pt idx="32">
                  <c:v>102</c:v>
                </c:pt>
                <c:pt idx="33">
                  <c:v>103</c:v>
                </c:pt>
                <c:pt idx="34">
                  <c:v>104</c:v>
                </c:pt>
                <c:pt idx="35">
                  <c:v>105</c:v>
                </c:pt>
              </c:strCache>
            </c:strRef>
          </c:cat>
          <c:val>
            <c:numRef>
              <c:f>Tables!$AG$12:$AG$57</c:f>
              <c:numCache>
                <c:formatCode>"$"#,##0</c:formatCode>
                <c:ptCount val="4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5216.7786040536448</c:v>
                </c:pt>
                <c:pt idx="23">
                  <c:v>45537.851223187332</c:v>
                </c:pt>
                <c:pt idx="24">
                  <c:v>86705.666367322818</c:v>
                </c:pt>
                <c:pt idx="25">
                  <c:v>128738.00562948515</c:v>
                </c:pt>
                <c:pt idx="26">
                  <c:v>171653.02401615289</c:v>
                </c:pt>
                <c:pt idx="27">
                  <c:v>215469.25778894065</c:v>
                </c:pt>
                <c:pt idx="28">
                  <c:v>259217.75018633532</c:v>
                </c:pt>
                <c:pt idx="29">
                  <c:v>296717.7501863353</c:v>
                </c:pt>
                <c:pt idx="30">
                  <c:v>334217.7501863353</c:v>
                </c:pt>
                <c:pt idx="31">
                  <c:v>371717.7501863353</c:v>
                </c:pt>
                <c:pt idx="32">
                  <c:v>409217.7501863353</c:v>
                </c:pt>
                <c:pt idx="33">
                  <c:v>446717.7501863353</c:v>
                </c:pt>
                <c:pt idx="34">
                  <c:v>484217.7501863353</c:v>
                </c:pt>
                <c:pt idx="35">
                  <c:v>521717.7501863353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58-4FCB-9599-7D407340CD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7440000"/>
        <c:axId val="597444592"/>
      </c:lineChart>
      <c:catAx>
        <c:axId val="59744000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0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Age of Death</a:t>
                </a:r>
              </a:p>
            </c:rich>
          </c:tx>
          <c:layout>
            <c:manualLayout>
              <c:xMode val="edge"/>
              <c:yMode val="edge"/>
              <c:x val="0.40056092568652801"/>
              <c:y val="0.7137466287788407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0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7444592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5974445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_);[Red]\(&quot;$&quot;#,##0\)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7440000"/>
        <c:crosses val="autoZero"/>
        <c:crossBetween val="midCat"/>
      </c:valAx>
      <c:spPr>
        <a:solidFill>
          <a:schemeClr val="bg1">
            <a:lumMod val="95000"/>
          </a:schemeClr>
        </a:solidFill>
        <a:ln>
          <a:solidFill>
            <a:schemeClr val="bg1">
              <a:lumMod val="50000"/>
            </a:schemeClr>
          </a:solidFill>
        </a:ln>
        <a:effectLst/>
      </c:spPr>
    </c:plotArea>
    <c:legend>
      <c:legendPos val="r"/>
      <c:layout>
        <c:manualLayout>
          <c:xMode val="edge"/>
          <c:yMode val="edge"/>
          <c:x val="0.22248991264151682"/>
          <c:y val="0.79096501635925642"/>
          <c:w val="0.41585894347161828"/>
          <c:h val="0.18290439722431959"/>
        </c:manualLayout>
      </c:layout>
      <c:overlay val="0"/>
      <c:spPr>
        <a:noFill/>
        <a:ln>
          <a:solidFill>
            <a:schemeClr val="bg1">
              <a:lumMod val="95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Assets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4570603674540683"/>
          <c:y val="0.26430555555555557"/>
          <c:w val="0.78643219597550318"/>
          <c:h val="0.62829505686789155"/>
        </c:manualLayout>
      </c:layout>
      <c:lineChart>
        <c:grouping val="standard"/>
        <c:varyColors val="0"/>
        <c:ser>
          <c:idx val="0"/>
          <c:order val="0"/>
          <c:tx>
            <c:v>RRIF no ALDA</c:v>
          </c:tx>
          <c:spPr>
            <a:ln w="22225" cap="rnd">
              <a:solidFill>
                <a:srgbClr val="00B0F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Tables!$C$12:$C$57</c:f>
              <c:strCache>
                <c:ptCount val="36"/>
                <c:pt idx="0">
                  <c:v>70</c:v>
                </c:pt>
                <c:pt idx="1">
                  <c:v>71</c:v>
                </c:pt>
                <c:pt idx="2">
                  <c:v>72</c:v>
                </c:pt>
                <c:pt idx="3">
                  <c:v>73</c:v>
                </c:pt>
                <c:pt idx="4">
                  <c:v>74</c:v>
                </c:pt>
                <c:pt idx="5">
                  <c:v>75</c:v>
                </c:pt>
                <c:pt idx="6">
                  <c:v>76</c:v>
                </c:pt>
                <c:pt idx="7">
                  <c:v>77</c:v>
                </c:pt>
                <c:pt idx="8">
                  <c:v>78</c:v>
                </c:pt>
                <c:pt idx="9">
                  <c:v>79</c:v>
                </c:pt>
                <c:pt idx="10">
                  <c:v>80</c:v>
                </c:pt>
                <c:pt idx="11">
                  <c:v>81</c:v>
                </c:pt>
                <c:pt idx="12">
                  <c:v>82</c:v>
                </c:pt>
                <c:pt idx="13">
                  <c:v>83</c:v>
                </c:pt>
                <c:pt idx="14">
                  <c:v>84</c:v>
                </c:pt>
                <c:pt idx="15">
                  <c:v>85</c:v>
                </c:pt>
                <c:pt idx="16">
                  <c:v>86</c:v>
                </c:pt>
                <c:pt idx="17">
                  <c:v>87</c:v>
                </c:pt>
                <c:pt idx="18">
                  <c:v>88</c:v>
                </c:pt>
                <c:pt idx="19">
                  <c:v>89</c:v>
                </c:pt>
                <c:pt idx="20">
                  <c:v>90</c:v>
                </c:pt>
                <c:pt idx="21">
                  <c:v>91</c:v>
                </c:pt>
                <c:pt idx="22">
                  <c:v>92</c:v>
                </c:pt>
                <c:pt idx="23">
                  <c:v>93</c:v>
                </c:pt>
                <c:pt idx="24">
                  <c:v>94</c:v>
                </c:pt>
                <c:pt idx="25">
                  <c:v>95</c:v>
                </c:pt>
                <c:pt idx="26">
                  <c:v>96</c:v>
                </c:pt>
                <c:pt idx="27">
                  <c:v>97</c:v>
                </c:pt>
                <c:pt idx="28">
                  <c:v>98</c:v>
                </c:pt>
                <c:pt idx="29">
                  <c:v>99</c:v>
                </c:pt>
                <c:pt idx="30">
                  <c:v>100</c:v>
                </c:pt>
                <c:pt idx="31">
                  <c:v>101</c:v>
                </c:pt>
                <c:pt idx="32">
                  <c:v>102</c:v>
                </c:pt>
                <c:pt idx="33">
                  <c:v>103</c:v>
                </c:pt>
                <c:pt idx="34">
                  <c:v>104</c:v>
                </c:pt>
                <c:pt idx="35">
                  <c:v>105</c:v>
                </c:pt>
              </c:strCache>
            </c:strRef>
          </c:cat>
          <c:val>
            <c:numRef>
              <c:f>Tables!$F$12:$F$57</c:f>
              <c:numCache>
                <c:formatCode>"$"#,##0</c:formatCode>
                <c:ptCount val="46"/>
                <c:pt idx="0">
                  <c:v>500000</c:v>
                </c:pt>
                <c:pt idx="1">
                  <c:v>490500</c:v>
                </c:pt>
                <c:pt idx="2">
                  <c:v>480180.5</c:v>
                </c:pt>
                <c:pt idx="3">
                  <c:v>469005.07050000003</c:v>
                </c:pt>
                <c:pt idx="4">
                  <c:v>456935.92116050003</c:v>
                </c:pt>
                <c:pt idx="5">
                  <c:v>443933.85375445057</c:v>
                </c:pt>
                <c:pt idx="6">
                  <c:v>429958.21355861105</c:v>
                </c:pt>
                <c:pt idx="7">
                  <c:v>414966.83913379366</c:v>
                </c:pt>
                <c:pt idx="8">
                  <c:v>398916.01044185914</c:v>
                </c:pt>
                <c:pt idx="9">
                  <c:v>381760.39524566795</c:v>
                </c:pt>
                <c:pt idx="10">
                  <c:v>363452.99373647716</c:v>
                </c:pt>
                <c:pt idx="11">
                  <c:v>343945.08133150352</c:v>
                </c:pt>
                <c:pt idx="12">
                  <c:v>323186.14958254882</c:v>
                </c:pt>
                <c:pt idx="13">
                  <c:v>301123.84513470164</c:v>
                </c:pt>
                <c:pt idx="14">
                  <c:v>277703.9066721882</c:v>
                </c:pt>
                <c:pt idx="15">
                  <c:v>252870.09978644137</c:v>
                </c:pt>
                <c:pt idx="16">
                  <c:v>226564.14969939212</c:v>
                </c:pt>
                <c:pt idx="17">
                  <c:v>198725.67177285533</c:v>
                </c:pt>
                <c:pt idx="18">
                  <c:v>169292.09973268432</c:v>
                </c:pt>
                <c:pt idx="19">
                  <c:v>138198.61153410029</c:v>
                </c:pt>
                <c:pt idx="20">
                  <c:v>105378.05279226392</c:v>
                </c:pt>
                <c:pt idx="21">
                  <c:v>70760.85769974337</c:v>
                </c:pt>
                <c:pt idx="22">
                  <c:v>34274.967350043997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6A-4758-B250-CDE3FC159F19}"/>
            </c:ext>
          </c:extLst>
        </c:ser>
        <c:ser>
          <c:idx val="1"/>
          <c:order val="1"/>
          <c:tx>
            <c:v> RRIF with ALDA</c:v>
          </c:tx>
          <c:spPr>
            <a:ln w="2540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Tables!$C$12:$C$57</c:f>
              <c:strCache>
                <c:ptCount val="36"/>
                <c:pt idx="0">
                  <c:v>70</c:v>
                </c:pt>
                <c:pt idx="1">
                  <c:v>71</c:v>
                </c:pt>
                <c:pt idx="2">
                  <c:v>72</c:v>
                </c:pt>
                <c:pt idx="3">
                  <c:v>73</c:v>
                </c:pt>
                <c:pt idx="4">
                  <c:v>74</c:v>
                </c:pt>
                <c:pt idx="5">
                  <c:v>75</c:v>
                </c:pt>
                <c:pt idx="6">
                  <c:v>76</c:v>
                </c:pt>
                <c:pt idx="7">
                  <c:v>77</c:v>
                </c:pt>
                <c:pt idx="8">
                  <c:v>78</c:v>
                </c:pt>
                <c:pt idx="9">
                  <c:v>79</c:v>
                </c:pt>
                <c:pt idx="10">
                  <c:v>80</c:v>
                </c:pt>
                <c:pt idx="11">
                  <c:v>81</c:v>
                </c:pt>
                <c:pt idx="12">
                  <c:v>82</c:v>
                </c:pt>
                <c:pt idx="13">
                  <c:v>83</c:v>
                </c:pt>
                <c:pt idx="14">
                  <c:v>84</c:v>
                </c:pt>
                <c:pt idx="15">
                  <c:v>85</c:v>
                </c:pt>
                <c:pt idx="16">
                  <c:v>86</c:v>
                </c:pt>
                <c:pt idx="17">
                  <c:v>87</c:v>
                </c:pt>
                <c:pt idx="18">
                  <c:v>88</c:v>
                </c:pt>
                <c:pt idx="19">
                  <c:v>89</c:v>
                </c:pt>
                <c:pt idx="20">
                  <c:v>90</c:v>
                </c:pt>
                <c:pt idx="21">
                  <c:v>91</c:v>
                </c:pt>
                <c:pt idx="22">
                  <c:v>92</c:v>
                </c:pt>
                <c:pt idx="23">
                  <c:v>93</c:v>
                </c:pt>
                <c:pt idx="24">
                  <c:v>94</c:v>
                </c:pt>
                <c:pt idx="25">
                  <c:v>95</c:v>
                </c:pt>
                <c:pt idx="26">
                  <c:v>96</c:v>
                </c:pt>
                <c:pt idx="27">
                  <c:v>97</c:v>
                </c:pt>
                <c:pt idx="28">
                  <c:v>98</c:v>
                </c:pt>
                <c:pt idx="29">
                  <c:v>99</c:v>
                </c:pt>
                <c:pt idx="30">
                  <c:v>100</c:v>
                </c:pt>
                <c:pt idx="31">
                  <c:v>101</c:v>
                </c:pt>
                <c:pt idx="32">
                  <c:v>102</c:v>
                </c:pt>
                <c:pt idx="33">
                  <c:v>103</c:v>
                </c:pt>
                <c:pt idx="34">
                  <c:v>104</c:v>
                </c:pt>
                <c:pt idx="35">
                  <c:v>105</c:v>
                </c:pt>
              </c:strCache>
            </c:strRef>
          </c:cat>
          <c:val>
            <c:numRef>
              <c:f>Tables!$Q$12:$Q$57</c:f>
              <c:numCache>
                <c:formatCode>"$"#,##0</c:formatCode>
                <c:ptCount val="46"/>
                <c:pt idx="0">
                  <c:v>375000</c:v>
                </c:pt>
                <c:pt idx="1">
                  <c:v>361625</c:v>
                </c:pt>
                <c:pt idx="2">
                  <c:v>347310.375</c:v>
                </c:pt>
                <c:pt idx="3">
                  <c:v>332015.97162500001</c:v>
                </c:pt>
                <c:pt idx="4">
                  <c:v>315700.16022037505</c:v>
                </c:pt>
                <c:pt idx="5">
                  <c:v>298319.78422518168</c:v>
                </c:pt>
                <c:pt idx="6">
                  <c:v>279830.10787393484</c:v>
                </c:pt>
                <c:pt idx="7">
                  <c:v>260184.76217289254</c:v>
                </c:pt>
                <c:pt idx="8">
                  <c:v>239335.68909517009</c:v>
                </c:pt>
                <c:pt idx="9">
                  <c:v>217233.08393723154</c:v>
                </c:pt>
                <c:pt idx="10">
                  <c:v>193825.33577747922</c:v>
                </c:pt>
                <c:pt idx="11">
                  <c:v>169058.96597577666</c:v>
                </c:pt>
                <c:pt idx="12">
                  <c:v>142878.56465079443</c:v>
                </c:pt>
                <c:pt idx="13">
                  <c:v>115226.72507006291</c:v>
                </c:pt>
                <c:pt idx="14">
                  <c:v>86043.97588554566</c:v>
                </c:pt>
                <c:pt idx="15">
                  <c:v>55268.711145412919</c:v>
                </c:pt>
                <c:pt idx="16">
                  <c:v>52278.673872446081</c:v>
                </c:pt>
                <c:pt idx="17">
                  <c:v>49199.459981359003</c:v>
                </c:pt>
                <c:pt idx="18">
                  <c:v>46026.094812561343</c:v>
                </c:pt>
                <c:pt idx="19">
                  <c:v>42753.639471388233</c:v>
                </c:pt>
                <c:pt idx="20">
                  <c:v>39380.377317095699</c:v>
                </c:pt>
                <c:pt idx="21">
                  <c:v>35907.028037727861</c:v>
                </c:pt>
                <c:pt idx="22">
                  <c:v>32330.688045170165</c:v>
                </c:pt>
                <c:pt idx="23">
                  <c:v>28648.222676825288</c:v>
                </c:pt>
                <c:pt idx="24">
                  <c:v>24855.197994413622</c:v>
                </c:pt>
                <c:pt idx="25">
                  <c:v>20955.417429090125</c:v>
                </c:pt>
                <c:pt idx="26">
                  <c:v>17072.696107229582</c:v>
                </c:pt>
                <c:pt idx="27">
                  <c:v>12186.93129988596</c:v>
                </c:pt>
                <c:pt idx="28">
                  <c:v>6248.4923973946643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56A-4758-B250-CDE3FC159F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97440000"/>
        <c:axId val="597444592"/>
      </c:lineChart>
      <c:catAx>
        <c:axId val="59744000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7444592"/>
        <c:crosses val="autoZero"/>
        <c:auto val="1"/>
        <c:lblAlgn val="ctr"/>
        <c:lblOffset val="10"/>
        <c:tickLblSkip val="5"/>
        <c:tickMarkSkip val="5"/>
        <c:noMultiLvlLbl val="1"/>
      </c:catAx>
      <c:valAx>
        <c:axId val="597444592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7440000"/>
        <c:crosses val="autoZero"/>
        <c:crossBetween val="midCat"/>
      </c:valAx>
      <c:spPr>
        <a:solidFill>
          <a:schemeClr val="bg1"/>
        </a:solidFill>
        <a:ln w="3175">
          <a:solidFill>
            <a:schemeClr val="tx1">
              <a:lumMod val="50000"/>
              <a:lumOff val="50000"/>
            </a:schemeClr>
          </a:solidFill>
        </a:ln>
        <a:effectLst/>
      </c:spPr>
    </c:plotArea>
    <c:legend>
      <c:legendPos val="t"/>
      <c:layout>
        <c:manualLayout>
          <c:xMode val="edge"/>
          <c:yMode val="edge"/>
          <c:x val="0.14424890638670165"/>
          <c:y val="0.14856481481481484"/>
          <c:w val="0.79925967664822561"/>
          <c:h val="9.5017556927005753E-2"/>
        </c:manualLayout>
      </c:layout>
      <c:overlay val="0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Pretax</a:t>
            </a:r>
            <a:r>
              <a:rPr lang="en-US" b="1" baseline="0"/>
              <a:t> Estate Value on Death</a:t>
            </a:r>
            <a:endParaRPr lang="en-US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4570603674540683"/>
          <c:y val="0.26430555555555557"/>
          <c:w val="0.78643219597550318"/>
          <c:h val="0.45001503295060252"/>
        </c:manualLayout>
      </c:layout>
      <c:lineChart>
        <c:grouping val="standard"/>
        <c:varyColors val="0"/>
        <c:ser>
          <c:idx val="0"/>
          <c:order val="0"/>
          <c:tx>
            <c:v>RRIF no ALDA</c:v>
          </c:tx>
          <c:spPr>
            <a:ln w="25400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Tables!$C$12:$C$57</c:f>
              <c:strCache>
                <c:ptCount val="36"/>
                <c:pt idx="0">
                  <c:v>70</c:v>
                </c:pt>
                <c:pt idx="1">
                  <c:v>71</c:v>
                </c:pt>
                <c:pt idx="2">
                  <c:v>72</c:v>
                </c:pt>
                <c:pt idx="3">
                  <c:v>73</c:v>
                </c:pt>
                <c:pt idx="4">
                  <c:v>74</c:v>
                </c:pt>
                <c:pt idx="5">
                  <c:v>75</c:v>
                </c:pt>
                <c:pt idx="6">
                  <c:v>76</c:v>
                </c:pt>
                <c:pt idx="7">
                  <c:v>77</c:v>
                </c:pt>
                <c:pt idx="8">
                  <c:v>78</c:v>
                </c:pt>
                <c:pt idx="9">
                  <c:v>79</c:v>
                </c:pt>
                <c:pt idx="10">
                  <c:v>80</c:v>
                </c:pt>
                <c:pt idx="11">
                  <c:v>81</c:v>
                </c:pt>
                <c:pt idx="12">
                  <c:v>82</c:v>
                </c:pt>
                <c:pt idx="13">
                  <c:v>83</c:v>
                </c:pt>
                <c:pt idx="14">
                  <c:v>84</c:v>
                </c:pt>
                <c:pt idx="15">
                  <c:v>85</c:v>
                </c:pt>
                <c:pt idx="16">
                  <c:v>86</c:v>
                </c:pt>
                <c:pt idx="17">
                  <c:v>87</c:v>
                </c:pt>
                <c:pt idx="18">
                  <c:v>88</c:v>
                </c:pt>
                <c:pt idx="19">
                  <c:v>89</c:v>
                </c:pt>
                <c:pt idx="20">
                  <c:v>90</c:v>
                </c:pt>
                <c:pt idx="21">
                  <c:v>91</c:v>
                </c:pt>
                <c:pt idx="22">
                  <c:v>92</c:v>
                </c:pt>
                <c:pt idx="23">
                  <c:v>93</c:v>
                </c:pt>
                <c:pt idx="24">
                  <c:v>94</c:v>
                </c:pt>
                <c:pt idx="25">
                  <c:v>95</c:v>
                </c:pt>
                <c:pt idx="26">
                  <c:v>96</c:v>
                </c:pt>
                <c:pt idx="27">
                  <c:v>97</c:v>
                </c:pt>
                <c:pt idx="28">
                  <c:v>98</c:v>
                </c:pt>
                <c:pt idx="29">
                  <c:v>99</c:v>
                </c:pt>
                <c:pt idx="30">
                  <c:v>100</c:v>
                </c:pt>
                <c:pt idx="31">
                  <c:v>101</c:v>
                </c:pt>
                <c:pt idx="32">
                  <c:v>102</c:v>
                </c:pt>
                <c:pt idx="33">
                  <c:v>103</c:v>
                </c:pt>
                <c:pt idx="34">
                  <c:v>104</c:v>
                </c:pt>
                <c:pt idx="35">
                  <c:v>105</c:v>
                </c:pt>
              </c:strCache>
            </c:strRef>
          </c:cat>
          <c:val>
            <c:numRef>
              <c:f>Tables!$AK$12:$AK$57</c:f>
              <c:numCache>
                <c:formatCode>"$"#,##0</c:formatCode>
                <c:ptCount val="46"/>
                <c:pt idx="0">
                  <c:v>490500</c:v>
                </c:pt>
                <c:pt idx="1">
                  <c:v>480180.5</c:v>
                </c:pt>
                <c:pt idx="2">
                  <c:v>469005.07050000003</c:v>
                </c:pt>
                <c:pt idx="3">
                  <c:v>456935.92116050003</c:v>
                </c:pt>
                <c:pt idx="4">
                  <c:v>443933.85375445057</c:v>
                </c:pt>
                <c:pt idx="5">
                  <c:v>429958.21355861105</c:v>
                </c:pt>
                <c:pt idx="6">
                  <c:v>414966.83913379366</c:v>
                </c:pt>
                <c:pt idx="7">
                  <c:v>398916.01044185914</c:v>
                </c:pt>
                <c:pt idx="8">
                  <c:v>381760.39524566795</c:v>
                </c:pt>
                <c:pt idx="9">
                  <c:v>363452.99373647716</c:v>
                </c:pt>
                <c:pt idx="10">
                  <c:v>343945.08133150352</c:v>
                </c:pt>
                <c:pt idx="11">
                  <c:v>323186.14958254882</c:v>
                </c:pt>
                <c:pt idx="12">
                  <c:v>301123.84513470164</c:v>
                </c:pt>
                <c:pt idx="13">
                  <c:v>277703.9066721882</c:v>
                </c:pt>
                <c:pt idx="14">
                  <c:v>252870.09978644137</c:v>
                </c:pt>
                <c:pt idx="15">
                  <c:v>226564.14969939212</c:v>
                </c:pt>
                <c:pt idx="16">
                  <c:v>198725.67177285533</c:v>
                </c:pt>
                <c:pt idx="17">
                  <c:v>169292.09973268432</c:v>
                </c:pt>
                <c:pt idx="18">
                  <c:v>138198.61153410029</c:v>
                </c:pt>
                <c:pt idx="19">
                  <c:v>105378.05279226392</c:v>
                </c:pt>
                <c:pt idx="20">
                  <c:v>70760.85769974337</c:v>
                </c:pt>
                <c:pt idx="21">
                  <c:v>34274.967350043997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BD-489C-874A-F672FDB03954}"/>
            </c:ext>
          </c:extLst>
        </c:ser>
        <c:ser>
          <c:idx val="1"/>
          <c:order val="1"/>
          <c:tx>
            <c:v> RRIF with ALDA</c:v>
          </c:tx>
          <c:spPr>
            <a:ln w="2540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Tables!$C$12:$C$57</c:f>
              <c:strCache>
                <c:ptCount val="36"/>
                <c:pt idx="0">
                  <c:v>70</c:v>
                </c:pt>
                <c:pt idx="1">
                  <c:v>71</c:v>
                </c:pt>
                <c:pt idx="2">
                  <c:v>72</c:v>
                </c:pt>
                <c:pt idx="3">
                  <c:v>73</c:v>
                </c:pt>
                <c:pt idx="4">
                  <c:v>74</c:v>
                </c:pt>
                <c:pt idx="5">
                  <c:v>75</c:v>
                </c:pt>
                <c:pt idx="6">
                  <c:v>76</c:v>
                </c:pt>
                <c:pt idx="7">
                  <c:v>77</c:v>
                </c:pt>
                <c:pt idx="8">
                  <c:v>78</c:v>
                </c:pt>
                <c:pt idx="9">
                  <c:v>79</c:v>
                </c:pt>
                <c:pt idx="10">
                  <c:v>80</c:v>
                </c:pt>
                <c:pt idx="11">
                  <c:v>81</c:v>
                </c:pt>
                <c:pt idx="12">
                  <c:v>82</c:v>
                </c:pt>
                <c:pt idx="13">
                  <c:v>83</c:v>
                </c:pt>
                <c:pt idx="14">
                  <c:v>84</c:v>
                </c:pt>
                <c:pt idx="15">
                  <c:v>85</c:v>
                </c:pt>
                <c:pt idx="16">
                  <c:v>86</c:v>
                </c:pt>
                <c:pt idx="17">
                  <c:v>87</c:v>
                </c:pt>
                <c:pt idx="18">
                  <c:v>88</c:v>
                </c:pt>
                <c:pt idx="19">
                  <c:v>89</c:v>
                </c:pt>
                <c:pt idx="20">
                  <c:v>90</c:v>
                </c:pt>
                <c:pt idx="21">
                  <c:v>91</c:v>
                </c:pt>
                <c:pt idx="22">
                  <c:v>92</c:v>
                </c:pt>
                <c:pt idx="23">
                  <c:v>93</c:v>
                </c:pt>
                <c:pt idx="24">
                  <c:v>94</c:v>
                </c:pt>
                <c:pt idx="25">
                  <c:v>95</c:v>
                </c:pt>
                <c:pt idx="26">
                  <c:v>96</c:v>
                </c:pt>
                <c:pt idx="27">
                  <c:v>97</c:v>
                </c:pt>
                <c:pt idx="28">
                  <c:v>98</c:v>
                </c:pt>
                <c:pt idx="29">
                  <c:v>99</c:v>
                </c:pt>
                <c:pt idx="30">
                  <c:v>100</c:v>
                </c:pt>
                <c:pt idx="31">
                  <c:v>101</c:v>
                </c:pt>
                <c:pt idx="32">
                  <c:v>102</c:v>
                </c:pt>
                <c:pt idx="33">
                  <c:v>103</c:v>
                </c:pt>
                <c:pt idx="34">
                  <c:v>104</c:v>
                </c:pt>
                <c:pt idx="35">
                  <c:v>105</c:v>
                </c:pt>
              </c:strCache>
            </c:strRef>
          </c:cat>
          <c:val>
            <c:numRef>
              <c:f>Tables!$AL$12:$AL$57</c:f>
              <c:numCache>
                <c:formatCode>"$"#,##0</c:formatCode>
                <c:ptCount val="46"/>
                <c:pt idx="0">
                  <c:v>486625</c:v>
                </c:pt>
                <c:pt idx="1">
                  <c:v>472310.375</c:v>
                </c:pt>
                <c:pt idx="2">
                  <c:v>457015.97162500001</c:v>
                </c:pt>
                <c:pt idx="3">
                  <c:v>440700.16022037505</c:v>
                </c:pt>
                <c:pt idx="4">
                  <c:v>423319.78422518168</c:v>
                </c:pt>
                <c:pt idx="5">
                  <c:v>404830.10787393484</c:v>
                </c:pt>
                <c:pt idx="6">
                  <c:v>385184.76217289257</c:v>
                </c:pt>
                <c:pt idx="7">
                  <c:v>364335.68909517012</c:v>
                </c:pt>
                <c:pt idx="8">
                  <c:v>342233.08393723157</c:v>
                </c:pt>
                <c:pt idx="9">
                  <c:v>318825.33577747922</c:v>
                </c:pt>
                <c:pt idx="10">
                  <c:v>294058.96597577666</c:v>
                </c:pt>
                <c:pt idx="11">
                  <c:v>267878.56465079443</c:v>
                </c:pt>
                <c:pt idx="12">
                  <c:v>240226.72507006291</c:v>
                </c:pt>
                <c:pt idx="13">
                  <c:v>211043.97588554566</c:v>
                </c:pt>
                <c:pt idx="14">
                  <c:v>180268.71114541293</c:v>
                </c:pt>
                <c:pt idx="15">
                  <c:v>139778.67387244609</c:v>
                </c:pt>
                <c:pt idx="16">
                  <c:v>99199.459981359003</c:v>
                </c:pt>
                <c:pt idx="17">
                  <c:v>58526.094812561343</c:v>
                </c:pt>
                <c:pt idx="18">
                  <c:v>42753.639471388233</c:v>
                </c:pt>
                <c:pt idx="19">
                  <c:v>39380.377317095699</c:v>
                </c:pt>
                <c:pt idx="20">
                  <c:v>35907.028037727861</c:v>
                </c:pt>
                <c:pt idx="21">
                  <c:v>32330.688045170165</c:v>
                </c:pt>
                <c:pt idx="22">
                  <c:v>28648.222676825288</c:v>
                </c:pt>
                <c:pt idx="23">
                  <c:v>24855.197994413622</c:v>
                </c:pt>
                <c:pt idx="24">
                  <c:v>20955.417429090125</c:v>
                </c:pt>
                <c:pt idx="25">
                  <c:v>17072.696107229582</c:v>
                </c:pt>
                <c:pt idx="26">
                  <c:v>12186.93129988596</c:v>
                </c:pt>
                <c:pt idx="27">
                  <c:v>6248.4923973946643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BD-489C-874A-F672FDB039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97440000"/>
        <c:axId val="597444592"/>
      </c:lineChart>
      <c:catAx>
        <c:axId val="59744000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Age of Death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7444592"/>
        <c:crosses val="autoZero"/>
        <c:auto val="1"/>
        <c:lblAlgn val="ctr"/>
        <c:lblOffset val="10"/>
        <c:tickLblSkip val="5"/>
        <c:tickMarkSkip val="5"/>
        <c:noMultiLvlLbl val="1"/>
      </c:catAx>
      <c:valAx>
        <c:axId val="597444592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7440000"/>
        <c:crosses val="autoZero"/>
        <c:crossBetween val="midCat"/>
      </c:valAx>
      <c:spPr>
        <a:solidFill>
          <a:schemeClr val="bg1"/>
        </a:solidFill>
        <a:ln w="3175">
          <a:solidFill>
            <a:schemeClr val="tx1">
              <a:lumMod val="50000"/>
              <a:lumOff val="50000"/>
            </a:schemeClr>
          </a:solidFill>
        </a:ln>
        <a:effectLst/>
      </c:spPr>
    </c:plotArea>
    <c:legend>
      <c:legendPos val="t"/>
      <c:layout>
        <c:manualLayout>
          <c:xMode val="edge"/>
          <c:yMode val="edge"/>
          <c:x val="0.14424890638670165"/>
          <c:y val="0.14856481481481484"/>
          <c:w val="0.79925967664822561"/>
          <c:h val="9.5017556927005753E-2"/>
        </c:manualLayout>
      </c:layout>
      <c:overlay val="0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GBox" noThreeD="1"/>
</file>

<file path=xl/ctrlProps/ctrlProp2.xml><?xml version="1.0" encoding="utf-8"?>
<formControlPr xmlns="http://schemas.microsoft.com/office/spreadsheetml/2009/9/main" objectType="Radio" firstButton="1" fmlaLink="Y5" lockText="1" noThreeD="1"/>
</file>

<file path=xl/ctrlProps/ctrlProp3.xml><?xml version="1.0" encoding="utf-8"?>
<formControlPr xmlns="http://schemas.microsoft.com/office/spreadsheetml/2009/9/main" objectType="Radio" checked="Checked" lockText="1" noThreeD="1"/>
</file>

<file path=xl/ctrlProps/ctrlProp4.xml><?xml version="1.0" encoding="utf-8"?>
<formControlPr xmlns="http://schemas.microsoft.com/office/spreadsheetml/2009/9/main" objectType="CheckBox" fmlaLink="Y6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30480</xdr:colOff>
      <xdr:row>11</xdr:row>
      <xdr:rowOff>53340</xdr:rowOff>
    </xdr:from>
    <xdr:to>
      <xdr:col>14</xdr:col>
      <xdr:colOff>556260</xdr:colOff>
      <xdr:row>24</xdr:row>
      <xdr:rowOff>30480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411480</xdr:colOff>
      <xdr:row>24</xdr:row>
      <xdr:rowOff>106680</xdr:rowOff>
    </xdr:from>
    <xdr:to>
      <xdr:col>7</xdr:col>
      <xdr:colOff>457200</xdr:colOff>
      <xdr:row>40</xdr:row>
      <xdr:rowOff>68580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350520</xdr:colOff>
          <xdr:row>3</xdr:row>
          <xdr:rowOff>38100</xdr:rowOff>
        </xdr:from>
        <xdr:to>
          <xdr:col>14</xdr:col>
          <xdr:colOff>220980</xdr:colOff>
          <xdr:row>7</xdr:row>
          <xdr:rowOff>15240</xdr:rowOff>
        </xdr:to>
        <xdr:sp macro="" textlink="">
          <xdr:nvSpPr>
            <xdr:cNvPr id="1027" name="Group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7432" rIns="0" bIns="0" anchor="t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When to convert RSP to a RRIF?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441960</xdr:colOff>
          <xdr:row>5</xdr:row>
          <xdr:rowOff>106680</xdr:rowOff>
        </xdr:from>
        <xdr:to>
          <xdr:col>12</xdr:col>
          <xdr:colOff>403860</xdr:colOff>
          <xdr:row>6</xdr:row>
          <xdr:rowOff>152400</xdr:rowOff>
        </xdr:to>
        <xdr:sp macro="" textlink="">
          <xdr:nvSpPr>
            <xdr:cNvPr id="1028" name="Option Butto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At Retirement Age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441960</xdr:colOff>
          <xdr:row>4</xdr:row>
          <xdr:rowOff>15240</xdr:rowOff>
        </xdr:from>
        <xdr:to>
          <xdr:col>14</xdr:col>
          <xdr:colOff>182880</xdr:colOff>
          <xdr:row>5</xdr:row>
          <xdr:rowOff>83820</xdr:rowOff>
        </xdr:to>
        <xdr:sp macro="" textlink="">
          <xdr:nvSpPr>
            <xdr:cNvPr id="1029" name="Option Butto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Partial at retirement, fully at the end of age 71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533400</xdr:colOff>
          <xdr:row>25</xdr:row>
          <xdr:rowOff>106680</xdr:rowOff>
        </xdr:from>
        <xdr:to>
          <xdr:col>11</xdr:col>
          <xdr:colOff>160020</xdr:colOff>
          <xdr:row>26</xdr:row>
          <xdr:rowOff>152400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Show OAS Clawback region</a:t>
              </a:r>
            </a:p>
          </xdr:txBody>
        </xdr:sp>
        <xdr:clientData/>
      </xdr:twoCellAnchor>
    </mc:Choice>
    <mc:Fallback/>
  </mc:AlternateContent>
  <xdr:twoCellAnchor>
    <xdr:from>
      <xdr:col>1</xdr:col>
      <xdr:colOff>22860</xdr:colOff>
      <xdr:row>11</xdr:row>
      <xdr:rowOff>45720</xdr:rowOff>
    </xdr:from>
    <xdr:to>
      <xdr:col>7</xdr:col>
      <xdr:colOff>480060</xdr:colOff>
      <xdr:row>24</xdr:row>
      <xdr:rowOff>22860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15240</xdr:colOff>
      <xdr:row>41</xdr:row>
      <xdr:rowOff>152400</xdr:rowOff>
    </xdr:from>
    <xdr:to>
      <xdr:col>7</xdr:col>
      <xdr:colOff>472440</xdr:colOff>
      <xdr:row>55</xdr:row>
      <xdr:rowOff>160020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382E0A-B8D5-48A0-895C-420B88C6CC9B}">
  <sheetPr codeName="Sheet1">
    <pageSetUpPr fitToPage="1"/>
  </sheetPr>
  <dimension ref="B1:Y38"/>
  <sheetViews>
    <sheetView showGridLines="0" showRowColHeaders="0" tabSelected="1" zoomScaleNormal="100" workbookViewId="0">
      <selection activeCell="Q12" sqref="Q12"/>
    </sheetView>
  </sheetViews>
  <sheetFormatPr defaultRowHeight="13.8" x14ac:dyDescent="0.3"/>
  <cols>
    <col min="5" max="5" width="11.44140625" customWidth="1"/>
    <col min="7" max="7" width="6.109375" customWidth="1"/>
    <col min="9" max="9" width="10.109375" customWidth="1"/>
    <col min="11" max="11" width="7.6640625" customWidth="1"/>
    <col min="25" max="25" width="0" hidden="1" customWidth="1"/>
  </cols>
  <sheetData>
    <row r="1" spans="2:25" ht="23.4" x14ac:dyDescent="0.45">
      <c r="B1" s="96" t="s">
        <v>9</v>
      </c>
      <c r="E1" s="133" t="s">
        <v>104</v>
      </c>
      <c r="K1" s="97"/>
    </row>
    <row r="2" spans="2:25" x14ac:dyDescent="0.3">
      <c r="H2" t="s">
        <v>66</v>
      </c>
    </row>
    <row r="3" spans="2:25" x14ac:dyDescent="0.3">
      <c r="D3" s="11" t="s">
        <v>15</v>
      </c>
      <c r="E3" s="131">
        <v>70</v>
      </c>
      <c r="G3" s="66"/>
      <c r="H3" s="71" t="s">
        <v>14</v>
      </c>
      <c r="I3" s="72">
        <v>70</v>
      </c>
    </row>
    <row r="4" spans="2:25" x14ac:dyDescent="0.3">
      <c r="D4" s="11" t="s">
        <v>73</v>
      </c>
      <c r="E4" s="132">
        <v>500000</v>
      </c>
      <c r="G4" s="67"/>
      <c r="H4" s="11" t="s">
        <v>12</v>
      </c>
      <c r="I4" s="69">
        <v>0.3</v>
      </c>
    </row>
    <row r="5" spans="2:25" x14ac:dyDescent="0.3">
      <c r="D5" s="11" t="s">
        <v>10</v>
      </c>
      <c r="E5" s="6">
        <v>3.1E-2</v>
      </c>
      <c r="G5" s="67"/>
      <c r="H5" s="11" t="s">
        <v>11</v>
      </c>
      <c r="I5" s="68">
        <v>85</v>
      </c>
      <c r="Y5" s="8">
        <v>2</v>
      </c>
    </row>
    <row r="6" spans="2:25" x14ac:dyDescent="0.3">
      <c r="D6" s="11" t="s">
        <v>67</v>
      </c>
      <c r="E6" s="6">
        <v>2.1000000000000001E-2</v>
      </c>
      <c r="G6" s="67"/>
      <c r="H6" s="2" t="s">
        <v>100</v>
      </c>
      <c r="I6" s="129">
        <v>170000</v>
      </c>
      <c r="J6" s="73" t="s">
        <v>68</v>
      </c>
      <c r="Y6" s="8" t="b">
        <v>0</v>
      </c>
    </row>
    <row r="7" spans="2:25" x14ac:dyDescent="0.3">
      <c r="D7" s="11" t="s">
        <v>20</v>
      </c>
      <c r="E7" s="5">
        <v>0</v>
      </c>
      <c r="G7" s="70"/>
      <c r="H7" s="95" t="s">
        <v>101</v>
      </c>
      <c r="I7" s="130" t="s">
        <v>102</v>
      </c>
    </row>
    <row r="8" spans="2:25" x14ac:dyDescent="0.3">
      <c r="D8" s="11" t="s">
        <v>19</v>
      </c>
      <c r="E8" s="4">
        <v>70</v>
      </c>
      <c r="G8" s="74" t="s">
        <v>72</v>
      </c>
    </row>
    <row r="9" spans="2:25" x14ac:dyDescent="0.3">
      <c r="D9" s="11" t="s">
        <v>91</v>
      </c>
      <c r="E9" s="7">
        <v>25000</v>
      </c>
      <c r="F9" s="75" t="s">
        <v>68</v>
      </c>
      <c r="G9" s="73"/>
      <c r="I9" s="2" t="s">
        <v>81</v>
      </c>
      <c r="J9" s="3">
        <f>Tables!E5</f>
        <v>0.05</v>
      </c>
    </row>
    <row r="10" spans="2:25" x14ac:dyDescent="0.3">
      <c r="D10" s="11" t="s">
        <v>26</v>
      </c>
      <c r="E10" s="98">
        <v>30</v>
      </c>
      <c r="F10" t="s">
        <v>92</v>
      </c>
    </row>
    <row r="11" spans="2:25" x14ac:dyDescent="0.3">
      <c r="D11" s="11" t="s">
        <v>86</v>
      </c>
      <c r="E11" s="4">
        <v>105</v>
      </c>
      <c r="G11" s="11"/>
      <c r="H11" s="11"/>
      <c r="I11" s="11"/>
      <c r="J11" s="111"/>
    </row>
    <row r="12" spans="2:25" x14ac:dyDescent="0.3">
      <c r="E12">
        <v>99</v>
      </c>
    </row>
    <row r="28" spans="9:14" x14ac:dyDescent="0.3">
      <c r="L28" s="1" t="s">
        <v>76</v>
      </c>
      <c r="M28" s="5">
        <v>713</v>
      </c>
      <c r="N28" s="74" t="s">
        <v>77</v>
      </c>
    </row>
    <row r="29" spans="9:14" x14ac:dyDescent="0.3">
      <c r="L29" s="1" t="s">
        <v>74</v>
      </c>
      <c r="M29" s="5">
        <v>90997</v>
      </c>
      <c r="N29" s="86" t="s">
        <v>75</v>
      </c>
    </row>
    <row r="31" spans="9:14" x14ac:dyDescent="0.3">
      <c r="I31" s="10" t="s">
        <v>58</v>
      </c>
    </row>
    <row r="32" spans="9:14" x14ac:dyDescent="0.3">
      <c r="I32" s="9" t="s">
        <v>90</v>
      </c>
    </row>
    <row r="33" spans="5:9" x14ac:dyDescent="0.3">
      <c r="I33" s="9" t="s">
        <v>89</v>
      </c>
    </row>
    <row r="34" spans="5:9" x14ac:dyDescent="0.3">
      <c r="I34" s="9" t="s">
        <v>69</v>
      </c>
    </row>
    <row r="35" spans="5:9" x14ac:dyDescent="0.3">
      <c r="I35" s="9" t="s">
        <v>70</v>
      </c>
    </row>
    <row r="36" spans="5:9" x14ac:dyDescent="0.3">
      <c r="I36" s="9" t="s">
        <v>71</v>
      </c>
    </row>
    <row r="38" spans="5:9" x14ac:dyDescent="0.3">
      <c r="E38" s="11" t="str">
        <f>"at age " &amp;E11&amp;": "</f>
        <v xml:space="preserve">at age 105: </v>
      </c>
      <c r="F38" s="99">
        <f>Tables!AF4</f>
        <v>509485.95568011096</v>
      </c>
    </row>
  </sheetData>
  <sheetProtection algorithmName="SHA-512" hashValue="FuOg61c1dBBb2iPUkG5Y36RXYAXn7yn21CXnKWGK248wtMVJM/nPZmcQPONg/f/ASy69ULZumPB9V7MqltQgLA==" saltValue="Ih+uQH9wbpQrZc6bLmz2HQ==" spinCount="100000" sheet="1" objects="1" scenarios="1"/>
  <conditionalFormatting sqref="L28:N29">
    <cfRule type="expression" dxfId="0" priority="1">
      <formula>$Y$6=FALSE</formula>
    </cfRule>
  </conditionalFormatting>
  <dataValidations xWindow="472" yWindow="422" count="6">
    <dataValidation type="whole" operator="greaterThanOrEqual" allowBlank="1" showInputMessage="1" showErrorMessage="1" error="Minimum retirement age: 60" prompt="Minimum retirement age: 60" sqref="E8" xr:uid="{6744E489-9367-4868-93BF-53D7D558A7E3}">
      <formula1>60</formula1>
    </dataValidation>
    <dataValidation type="whole" operator="lessThanOrEqual" allowBlank="1" showInputMessage="1" showErrorMessage="1" error="must be less than or equal to 85." prompt="must be less than or equal to 85." sqref="I5" xr:uid="{71D8635F-2DF9-4ABF-A4F9-12BE16C6F8BE}">
      <formula1>85</formula1>
    </dataValidation>
    <dataValidation type="whole" operator="lessThanOrEqual" allowBlank="1" showInputMessage="1" showErrorMessage="1" error="must be less than or equal to $170,000." prompt="must be less than or equal to $170,000" sqref="I6" xr:uid="{DD417028-C6A8-49CC-93E9-2F219ECCFEE6}">
      <formula1>170000</formula1>
    </dataValidation>
    <dataValidation type="decimal" allowBlank="1" showInputMessage="1" showErrorMessage="1" error="between 0 and 70" prompt="between 0 and 70" sqref="E10" xr:uid="{2A204171-3F79-4366-95F7-21C959142E25}">
      <formula1>0</formula1>
      <formula2>70</formula2>
    </dataValidation>
    <dataValidation type="list" showInputMessage="1" showErrorMessage="1" prompt="Refund of unpaid premium?" sqref="I7" xr:uid="{D84260B8-F94F-432C-99F8-9C69B7803CF1}">
      <formula1>"Y,N"</formula1>
    </dataValidation>
    <dataValidation allowBlank="1" showInputMessage="1" showErrorMessage="1" error="This input is locked in this TRIAL version." prompt="This input is locked in this TRIAL version." sqref="E3:E4" xr:uid="{490F92DA-22F9-4552-8305-73A54CD5BF3F}"/>
  </dataValidations>
  <pageMargins left="0.7" right="0.7" top="0.75" bottom="0.75" header="0.3" footer="0.3"/>
  <pageSetup scale="97" orientation="landscape" horizontalDpi="0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Group Box 3">
              <controlPr defaultSize="0" autoFill="0" autoPict="0">
                <anchor moveWithCells="1">
                  <from>
                    <xdr:col>9</xdr:col>
                    <xdr:colOff>350520</xdr:colOff>
                    <xdr:row>3</xdr:row>
                    <xdr:rowOff>38100</xdr:rowOff>
                  </from>
                  <to>
                    <xdr:col>14</xdr:col>
                    <xdr:colOff>220980</xdr:colOff>
                    <xdr:row>7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Option Button 4">
              <controlPr defaultSize="0" autoFill="0" autoLine="0" autoPict="0">
                <anchor moveWithCells="1">
                  <from>
                    <xdr:col>9</xdr:col>
                    <xdr:colOff>441960</xdr:colOff>
                    <xdr:row>5</xdr:row>
                    <xdr:rowOff>106680</xdr:rowOff>
                  </from>
                  <to>
                    <xdr:col>12</xdr:col>
                    <xdr:colOff>403860</xdr:colOff>
                    <xdr:row>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6" name="Option Button 5">
              <controlPr defaultSize="0" autoFill="0" autoLine="0" autoPict="0">
                <anchor moveWithCells="1">
                  <from>
                    <xdr:col>9</xdr:col>
                    <xdr:colOff>441960</xdr:colOff>
                    <xdr:row>4</xdr:row>
                    <xdr:rowOff>15240</xdr:rowOff>
                  </from>
                  <to>
                    <xdr:col>14</xdr:col>
                    <xdr:colOff>182880</xdr:colOff>
                    <xdr:row>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7" name="Check Box 6">
              <controlPr defaultSize="0" autoFill="0" autoLine="0" autoPict="0">
                <anchor moveWithCells="1">
                  <from>
                    <xdr:col>8</xdr:col>
                    <xdr:colOff>533400</xdr:colOff>
                    <xdr:row>25</xdr:row>
                    <xdr:rowOff>106680</xdr:rowOff>
                  </from>
                  <to>
                    <xdr:col>11</xdr:col>
                    <xdr:colOff>160020</xdr:colOff>
                    <xdr:row>26</xdr:row>
                    <xdr:rowOff>152400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xWindow="472" yWindow="422" count="1">
        <x14:dataValidation type="whole" allowBlank="1" showInputMessage="1" showErrorMessage="1" error="maximum $170,000." prompt="maximum $170,000." xr:uid="{8D495E57-F2E8-48BA-B412-B1264273E9B9}">
          <x14:formula1>
            <xm:f>0</xm:f>
          </x14:formula1>
          <x14:formula2>
            <xm:f>Tables!Y3</xm:f>
          </x14:formula2>
          <xm:sqref>I6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B99DEC-40CB-4844-AF8D-5C3655036CEF}">
  <sheetPr codeName="Sheet2">
    <pageSetUpPr fitToPage="1"/>
  </sheetPr>
  <dimension ref="A1:BA57"/>
  <sheetViews>
    <sheetView showGridLines="0" showRowColHeaders="0" topLeftCell="B6" workbookViewId="0">
      <selection activeCell="K16" sqref="K16"/>
    </sheetView>
  </sheetViews>
  <sheetFormatPr defaultRowHeight="13.8" x14ac:dyDescent="0.3"/>
  <cols>
    <col min="1" max="1" width="0" style="14" hidden="1" customWidth="1"/>
    <col min="2" max="2" width="3.5546875" style="14" customWidth="1"/>
    <col min="3" max="5" width="8.88671875" style="14"/>
    <col min="6" max="6" width="9.88671875" style="14" bestFit="1" customWidth="1"/>
    <col min="7" max="7" width="8.88671875" style="14"/>
    <col min="8" max="8" width="9.88671875" style="14" customWidth="1"/>
    <col min="9" max="10" width="8.88671875" style="14"/>
    <col min="11" max="11" width="9.88671875" style="14" customWidth="1"/>
    <col min="12" max="12" width="9.88671875" style="14" bestFit="1" customWidth="1"/>
    <col min="13" max="13" width="9.88671875" style="14" customWidth="1"/>
    <col min="14" max="14" width="5.44140625" style="14" customWidth="1"/>
    <col min="15" max="16" width="9.88671875" style="14" customWidth="1"/>
    <col min="17" max="27" width="8.88671875" style="14"/>
    <col min="28" max="28" width="5.109375" style="14" customWidth="1"/>
    <col min="29" max="35" width="8.88671875" style="14"/>
    <col min="36" max="36" width="2.44140625" style="14" customWidth="1"/>
    <col min="37" max="38" width="8.88671875" style="14"/>
    <col min="39" max="39" width="3.6640625" style="14" customWidth="1"/>
    <col min="40" max="40" width="0" style="14" hidden="1" customWidth="1"/>
    <col min="41" max="41" width="9.88671875" style="14" bestFit="1" customWidth="1"/>
    <col min="42" max="43" width="8.88671875" style="14"/>
    <col min="44" max="44" width="8.88671875" style="14" customWidth="1"/>
    <col min="45" max="45" width="5.44140625" style="14" customWidth="1"/>
    <col min="46" max="51" width="0" style="14" hidden="1" customWidth="1"/>
    <col min="52" max="16384" width="8.88671875" style="14"/>
  </cols>
  <sheetData>
    <row r="1" spans="1:53" hidden="1" x14ac:dyDescent="0.3">
      <c r="A1" s="12" t="s">
        <v>18</v>
      </c>
      <c r="B1" s="12" t="s">
        <v>16</v>
      </c>
      <c r="C1" s="12" t="s">
        <v>8</v>
      </c>
      <c r="D1" s="12" t="s">
        <v>3</v>
      </c>
      <c r="E1" s="12" t="s">
        <v>17</v>
      </c>
      <c r="F1" s="13"/>
      <c r="H1" s="13"/>
      <c r="Q1" s="13" t="s">
        <v>4</v>
      </c>
      <c r="R1" s="13"/>
      <c r="S1" s="13"/>
      <c r="U1" s="15">
        <f>Charts!I4</f>
        <v>0.3</v>
      </c>
      <c r="W1" s="16" t="s">
        <v>23</v>
      </c>
      <c r="X1" s="17">
        <f>MAX(B2,Charts!I3)</f>
        <v>70</v>
      </c>
      <c r="Y1" s="14" t="s">
        <v>80</v>
      </c>
      <c r="AB1" s="17"/>
      <c r="AK1" s="14" t="s">
        <v>103</v>
      </c>
    </row>
    <row r="2" spans="1:53" hidden="1" x14ac:dyDescent="0.3">
      <c r="A2" s="18">
        <f>(MAX(B2,Charts!E8))</f>
        <v>70</v>
      </c>
      <c r="B2" s="18">
        <f>Charts!E3</f>
        <v>70</v>
      </c>
      <c r="C2" s="19">
        <f>Charts!E5</f>
        <v>3.1E-2</v>
      </c>
      <c r="D2" s="19">
        <f>Charts!E6</f>
        <v>2.1000000000000001E-2</v>
      </c>
      <c r="E2" s="18">
        <f>Charts!I3</f>
        <v>70</v>
      </c>
      <c r="G2" s="14" t="s">
        <v>48</v>
      </c>
      <c r="H2" s="14">
        <f>IF(Charts!Y5=2,71,Tables!A2)</f>
        <v>71</v>
      </c>
      <c r="K2" s="108"/>
      <c r="L2" s="109" t="s">
        <v>96</v>
      </c>
      <c r="M2" s="110">
        <f>L7+AA7</f>
        <v>0</v>
      </c>
      <c r="Q2" s="20">
        <f>MIN(W2,0.25*F12)</f>
        <v>125000</v>
      </c>
      <c r="R2" s="20"/>
      <c r="S2" s="20"/>
      <c r="T2" s="14" t="s">
        <v>5</v>
      </c>
      <c r="U2" s="21">
        <f>U1*Q2</f>
        <v>37500</v>
      </c>
      <c r="V2" s="16" t="s">
        <v>24</v>
      </c>
      <c r="W2" s="22">
        <f>ROUNDDOWN(FV(D2,(X1-B2),0,-Z3),-4)</f>
        <v>170000</v>
      </c>
      <c r="Y2" s="14" t="s">
        <v>79</v>
      </c>
      <c r="Z2" s="14" t="s">
        <v>78</v>
      </c>
      <c r="AD2" s="94">
        <f>Charts!E10/100</f>
        <v>0.3</v>
      </c>
      <c r="AF2" s="23">
        <f>MIN(AF12:AF52)</f>
        <v>0</v>
      </c>
      <c r="AG2" s="23">
        <f>VLOOKUP(90,AC12:AI52,6)</f>
        <v>-1293.0678741351228</v>
      </c>
      <c r="AK2" s="14" t="str">
        <f>Charts!I7</f>
        <v>Y</v>
      </c>
      <c r="AO2" s="76"/>
      <c r="AP2" s="77" t="s">
        <v>64</v>
      </c>
      <c r="AQ2" s="77" t="s">
        <v>65</v>
      </c>
    </row>
    <row r="3" spans="1:53" hidden="1" x14ac:dyDescent="0.3">
      <c r="A3" s="12" t="s">
        <v>21</v>
      </c>
      <c r="B3" s="12" t="s">
        <v>22</v>
      </c>
      <c r="D3" s="24" t="s">
        <v>2</v>
      </c>
      <c r="E3" s="24" t="s">
        <v>13</v>
      </c>
      <c r="Q3" s="12" t="s">
        <v>6</v>
      </c>
      <c r="R3" s="12"/>
      <c r="S3" s="12"/>
      <c r="T3" s="14">
        <f>Charts!I5</f>
        <v>85</v>
      </c>
      <c r="Y3" s="65">
        <v>170000</v>
      </c>
      <c r="Z3" s="21">
        <f>MIN(Charts!I6,Y3)</f>
        <v>170000</v>
      </c>
      <c r="AA3" s="21"/>
      <c r="AE3" s="16" t="s">
        <v>87</v>
      </c>
      <c r="AF3" s="17">
        <f>Charts!E11</f>
        <v>105</v>
      </c>
      <c r="AO3" s="78">
        <f>Charts!M29</f>
        <v>90997</v>
      </c>
      <c r="AP3" s="78">
        <f>AO3+(Charts!M28*12/0.15)</f>
        <v>148037</v>
      </c>
      <c r="AQ3" s="78">
        <f>AO3+((1.1*Charts!M28*12)/0.15)</f>
        <v>153741</v>
      </c>
    </row>
    <row r="4" spans="1:53" hidden="1" x14ac:dyDescent="0.3">
      <c r="A4" s="25">
        <f>Charts!E7</f>
        <v>0</v>
      </c>
      <c r="B4" s="25">
        <f>Charts!E4</f>
        <v>500000</v>
      </c>
      <c r="D4" s="26">
        <f>IF(A2-B2,FV(D2,(A2-B2),,-Charts!E9),Charts!E9)</f>
        <v>25000</v>
      </c>
      <c r="E4" s="12">
        <f>Charts!T2</f>
        <v>0</v>
      </c>
      <c r="J4" s="12"/>
      <c r="V4" s="12"/>
      <c r="W4" s="14" t="s">
        <v>7</v>
      </c>
      <c r="AE4" s="16" t="s">
        <v>88</v>
      </c>
      <c r="AF4" s="23">
        <f>VLOOKUP(AF3,AC12:AI57,7)</f>
        <v>509485.95568011096</v>
      </c>
      <c r="AZ4" s="14">
        <f>A2</f>
        <v>70</v>
      </c>
      <c r="BA4" s="14">
        <f>VLOOKUP(AZ4,$AZ$12:$BA$52,2)</f>
        <v>0.05</v>
      </c>
    </row>
    <row r="5" spans="1:53" hidden="1" x14ac:dyDescent="0.3">
      <c r="A5" s="27"/>
      <c r="B5" s="27"/>
      <c r="D5" s="28">
        <v>0</v>
      </c>
      <c r="E5" s="29">
        <f>MAX(E12:E52)</f>
        <v>0.05</v>
      </c>
      <c r="F5" s="13"/>
      <c r="J5" s="13"/>
      <c r="W5" s="12"/>
      <c r="AO5" s="76"/>
      <c r="AP5" s="76"/>
      <c r="AQ5" s="76"/>
    </row>
    <row r="6" spans="1:53" x14ac:dyDescent="0.3">
      <c r="A6" s="27"/>
      <c r="B6" s="27"/>
      <c r="F6" s="13"/>
      <c r="J6" s="13"/>
      <c r="W6" s="12"/>
      <c r="AO6" s="76"/>
      <c r="AP6" s="76"/>
      <c r="AQ6" s="76"/>
    </row>
    <row r="7" spans="1:53" x14ac:dyDescent="0.3">
      <c r="A7" s="27"/>
      <c r="B7" s="27"/>
      <c r="C7" s="30"/>
      <c r="D7" s="31"/>
      <c r="E7" s="31"/>
      <c r="F7" s="32"/>
      <c r="G7" s="32" t="s">
        <v>28</v>
      </c>
      <c r="H7" s="31"/>
      <c r="I7" s="31"/>
      <c r="J7" s="32"/>
      <c r="K7" s="100" t="s">
        <v>95</v>
      </c>
      <c r="L7" s="101">
        <f>MAX(0,VLOOKUP(AF3,C12:L57,10))</f>
        <v>0</v>
      </c>
      <c r="M7" s="33"/>
      <c r="O7" s="34"/>
      <c r="P7" s="35"/>
      <c r="Q7" s="35"/>
      <c r="R7" s="36" t="s">
        <v>51</v>
      </c>
      <c r="S7" s="35"/>
      <c r="T7" s="35"/>
      <c r="U7" s="35"/>
      <c r="V7" s="35"/>
      <c r="W7" s="37"/>
      <c r="X7" s="35"/>
      <c r="Y7" s="35"/>
      <c r="Z7" s="104" t="s">
        <v>95</v>
      </c>
      <c r="AA7" s="106">
        <f>VLOOKUP(AF3,O12:AA57,13)</f>
        <v>0</v>
      </c>
      <c r="AC7" s="113"/>
      <c r="AD7" s="114"/>
      <c r="AE7" s="115" t="s">
        <v>59</v>
      </c>
      <c r="AF7" s="114"/>
      <c r="AG7" s="114"/>
      <c r="AH7" s="114"/>
      <c r="AI7" s="116"/>
      <c r="AK7" s="123" t="s">
        <v>97</v>
      </c>
      <c r="AL7" s="124"/>
    </row>
    <row r="8" spans="1:53" x14ac:dyDescent="0.3">
      <c r="A8" s="27"/>
      <c r="B8" s="27"/>
      <c r="C8" s="38"/>
      <c r="D8" s="39"/>
      <c r="E8" s="39"/>
      <c r="F8" s="39"/>
      <c r="G8" s="39"/>
      <c r="H8" s="39"/>
      <c r="I8" s="39"/>
      <c r="J8" s="40"/>
      <c r="K8" s="39"/>
      <c r="L8" s="39"/>
      <c r="M8" s="41"/>
      <c r="O8" s="42"/>
      <c r="P8" s="102"/>
      <c r="Q8" s="102"/>
      <c r="R8" s="102"/>
      <c r="S8" s="102"/>
      <c r="T8" s="102"/>
      <c r="U8" s="102"/>
      <c r="V8" s="102"/>
      <c r="W8" s="105"/>
      <c r="X8" s="102"/>
      <c r="Y8" s="102"/>
      <c r="Z8" s="102"/>
      <c r="AA8" s="43"/>
      <c r="AC8" s="117"/>
      <c r="AD8" s="118" t="s">
        <v>52</v>
      </c>
      <c r="AE8" s="118" t="s">
        <v>52</v>
      </c>
      <c r="AF8" s="118" t="s">
        <v>36</v>
      </c>
      <c r="AG8" s="118" t="s">
        <v>36</v>
      </c>
      <c r="AH8" s="118" t="s">
        <v>56</v>
      </c>
      <c r="AI8" s="119" t="s">
        <v>56</v>
      </c>
      <c r="AK8" s="125"/>
      <c r="AL8" s="126"/>
    </row>
    <row r="9" spans="1:53" x14ac:dyDescent="0.3">
      <c r="A9" s="27"/>
      <c r="B9" s="27"/>
      <c r="C9" s="38"/>
      <c r="D9" s="44"/>
      <c r="E9" s="45" t="s">
        <v>37</v>
      </c>
      <c r="F9" s="45"/>
      <c r="G9" s="45"/>
      <c r="H9" s="45"/>
      <c r="I9" s="45" t="s">
        <v>32</v>
      </c>
      <c r="J9" s="45" t="s">
        <v>39</v>
      </c>
      <c r="K9" s="45" t="s">
        <v>45</v>
      </c>
      <c r="L9" s="45"/>
      <c r="M9" s="46"/>
      <c r="O9" s="42"/>
      <c r="P9" s="47"/>
      <c r="Q9" s="102"/>
      <c r="R9" s="102"/>
      <c r="S9" s="102"/>
      <c r="T9" s="103" t="s">
        <v>34</v>
      </c>
      <c r="U9" s="103" t="s">
        <v>36</v>
      </c>
      <c r="V9" s="103" t="s">
        <v>32</v>
      </c>
      <c r="W9" s="103" t="s">
        <v>39</v>
      </c>
      <c r="X9" s="102"/>
      <c r="Y9" s="103" t="s">
        <v>47</v>
      </c>
      <c r="Z9" s="102"/>
      <c r="AA9" s="112" t="s">
        <v>46</v>
      </c>
      <c r="AC9" s="117"/>
      <c r="AD9" s="118" t="s">
        <v>53</v>
      </c>
      <c r="AE9" s="118" t="s">
        <v>53</v>
      </c>
      <c r="AF9" s="118" t="s">
        <v>53</v>
      </c>
      <c r="AG9" s="118" t="s">
        <v>53</v>
      </c>
      <c r="AH9" s="118" t="s">
        <v>57</v>
      </c>
      <c r="AI9" s="119" t="s">
        <v>57</v>
      </c>
      <c r="AK9" s="125" t="s">
        <v>45</v>
      </c>
      <c r="AL9" s="126" t="s">
        <v>45</v>
      </c>
      <c r="AO9" s="79" t="s">
        <v>60</v>
      </c>
      <c r="AP9" s="80" t="s">
        <v>60</v>
      </c>
      <c r="AQ9" s="80" t="s">
        <v>60</v>
      </c>
      <c r="AR9" s="92"/>
    </row>
    <row r="10" spans="1:53" x14ac:dyDescent="0.3">
      <c r="C10" s="38"/>
      <c r="D10" s="44" t="s">
        <v>35</v>
      </c>
      <c r="E10" s="45" t="s">
        <v>34</v>
      </c>
      <c r="F10" s="45" t="s">
        <v>0</v>
      </c>
      <c r="G10" s="45"/>
      <c r="H10" s="45" t="s">
        <v>0</v>
      </c>
      <c r="I10" s="45" t="s">
        <v>33</v>
      </c>
      <c r="J10" s="45" t="s">
        <v>40</v>
      </c>
      <c r="K10" s="45" t="s">
        <v>36</v>
      </c>
      <c r="L10" s="45" t="s">
        <v>0</v>
      </c>
      <c r="M10" s="46" t="s">
        <v>36</v>
      </c>
      <c r="O10" s="42"/>
      <c r="P10" s="47" t="s">
        <v>35</v>
      </c>
      <c r="Q10" s="103" t="s">
        <v>0</v>
      </c>
      <c r="R10" s="103"/>
      <c r="S10" s="103" t="s">
        <v>0</v>
      </c>
      <c r="T10" s="103" t="s">
        <v>49</v>
      </c>
      <c r="U10" s="103" t="s">
        <v>50</v>
      </c>
      <c r="V10" s="103" t="s">
        <v>33</v>
      </c>
      <c r="W10" s="103" t="s">
        <v>40</v>
      </c>
      <c r="X10" s="103" t="s">
        <v>0</v>
      </c>
      <c r="Y10" s="103" t="s">
        <v>36</v>
      </c>
      <c r="Z10" s="103" t="s">
        <v>36</v>
      </c>
      <c r="AA10" s="48" t="s">
        <v>93</v>
      </c>
      <c r="AC10" s="117"/>
      <c r="AD10" s="118" t="s">
        <v>25</v>
      </c>
      <c r="AE10" s="118" t="s">
        <v>25</v>
      </c>
      <c r="AF10" s="118" t="s">
        <v>25</v>
      </c>
      <c r="AG10" s="118" t="s">
        <v>25</v>
      </c>
      <c r="AH10" s="118" t="s">
        <v>25</v>
      </c>
      <c r="AI10" s="119" t="s">
        <v>25</v>
      </c>
      <c r="AK10" s="125" t="s">
        <v>98</v>
      </c>
      <c r="AL10" s="126" t="s">
        <v>99</v>
      </c>
      <c r="AO10" s="82" t="s">
        <v>61</v>
      </c>
      <c r="AP10" s="91" t="s">
        <v>82</v>
      </c>
      <c r="AQ10" s="91" t="s">
        <v>82</v>
      </c>
      <c r="AR10" s="93"/>
      <c r="AZ10" s="79"/>
      <c r="BA10" s="81" t="s">
        <v>85</v>
      </c>
    </row>
    <row r="11" spans="1:53" x14ac:dyDescent="0.3">
      <c r="C11" s="49" t="s">
        <v>1</v>
      </c>
      <c r="D11" s="50" t="s">
        <v>36</v>
      </c>
      <c r="E11" s="50" t="s">
        <v>38</v>
      </c>
      <c r="F11" s="50" t="s">
        <v>30</v>
      </c>
      <c r="G11" s="50" t="s">
        <v>31</v>
      </c>
      <c r="H11" s="50" t="s">
        <v>29</v>
      </c>
      <c r="I11" s="50" t="s">
        <v>34</v>
      </c>
      <c r="J11" s="50" t="s">
        <v>41</v>
      </c>
      <c r="K11" s="50" t="s">
        <v>43</v>
      </c>
      <c r="L11" s="50" t="s">
        <v>42</v>
      </c>
      <c r="M11" s="51" t="s">
        <v>44</v>
      </c>
      <c r="O11" s="52" t="s">
        <v>1</v>
      </c>
      <c r="P11" s="53" t="s">
        <v>36</v>
      </c>
      <c r="Q11" s="53" t="s">
        <v>30</v>
      </c>
      <c r="R11" s="53" t="s">
        <v>31</v>
      </c>
      <c r="S11" s="53" t="s">
        <v>29</v>
      </c>
      <c r="T11" s="53" t="s">
        <v>46</v>
      </c>
      <c r="U11" s="53" t="s">
        <v>46</v>
      </c>
      <c r="V11" s="53" t="s">
        <v>34</v>
      </c>
      <c r="W11" s="53" t="s">
        <v>41</v>
      </c>
      <c r="X11" s="53" t="s">
        <v>42</v>
      </c>
      <c r="Y11" s="53" t="s">
        <v>43</v>
      </c>
      <c r="Z11" s="53" t="s">
        <v>44</v>
      </c>
      <c r="AA11" s="54" t="s">
        <v>94</v>
      </c>
      <c r="AC11" s="120" t="s">
        <v>1</v>
      </c>
      <c r="AD11" s="121" t="s">
        <v>54</v>
      </c>
      <c r="AE11" s="121" t="s">
        <v>55</v>
      </c>
      <c r="AF11" s="121" t="s">
        <v>54</v>
      </c>
      <c r="AG11" s="121" t="s">
        <v>55</v>
      </c>
      <c r="AH11" s="121" t="s">
        <v>54</v>
      </c>
      <c r="AI11" s="122" t="s">
        <v>27</v>
      </c>
      <c r="AK11" s="127"/>
      <c r="AL11" s="128" t="s">
        <v>46</v>
      </c>
      <c r="AO11" s="83" t="s">
        <v>62</v>
      </c>
      <c r="AP11" s="84" t="s">
        <v>83</v>
      </c>
      <c r="AQ11" s="84" t="s">
        <v>84</v>
      </c>
      <c r="AR11" s="85" t="s">
        <v>63</v>
      </c>
      <c r="AZ11" s="83" t="s">
        <v>1</v>
      </c>
      <c r="BA11" s="85" t="s">
        <v>34</v>
      </c>
    </row>
    <row r="12" spans="1:53" s="55" customFormat="1" x14ac:dyDescent="0.3">
      <c r="C12" s="56">
        <f>MAX(60,B2)</f>
        <v>70</v>
      </c>
      <c r="D12" s="57">
        <f>IF(AND(C12=A$2,D5=0),D$4,IF(C12&gt;A$2,D5*(1+D$2),0))</f>
        <v>25000</v>
      </c>
      <c r="E12" s="58">
        <f t="shared" ref="E12" si="0">IF(AND(F12&gt;0,A$2=C12),D12/F12,0)</f>
        <v>0.05</v>
      </c>
      <c r="F12" s="57">
        <f>IF(B2=C12,B4,-FV($C$2,(C12-B2),A4,B4) )</f>
        <v>500000</v>
      </c>
      <c r="G12" s="57">
        <f t="shared" ref="G12" si="1">F12*C$2</f>
        <v>15500</v>
      </c>
      <c r="H12" s="57">
        <f t="shared" ref="H12:H52" si="2">IF($A$2&gt;C12,$A$4,0)</f>
        <v>0</v>
      </c>
      <c r="I12" s="57">
        <f>F12*IF(C12&gt;H$2,VLOOKUP(C12,$AZ$12:$BA$52,2),0)</f>
        <v>0</v>
      </c>
      <c r="J12" s="57">
        <f t="shared" ref="J12:J52" si="3">MAX(D12,I12)</f>
        <v>25000</v>
      </c>
      <c r="K12" s="57">
        <f t="shared" ref="K12:K52" si="4">MIN(J12,F12)</f>
        <v>25000</v>
      </c>
      <c r="L12" s="57">
        <f t="shared" ref="L12" si="5">MAX(0,F12+H12+G12-J12)</f>
        <v>490500</v>
      </c>
      <c r="M12" s="57">
        <f t="shared" ref="M12:M52" si="6">MAX(0,D12-K12)</f>
        <v>0</v>
      </c>
      <c r="O12" s="56">
        <f>C12</f>
        <v>70</v>
      </c>
      <c r="P12" s="57">
        <f>D12</f>
        <v>25000</v>
      </c>
      <c r="Q12" s="57">
        <f>IF($X$1=C12,F12-Q2, F12)</f>
        <v>375000</v>
      </c>
      <c r="R12" s="57">
        <f t="shared" ref="R12" si="7">Q12*C$2</f>
        <v>11625</v>
      </c>
      <c r="S12" s="57">
        <f t="shared" ref="S12:S52" si="8">H12</f>
        <v>0</v>
      </c>
      <c r="T12" s="57">
        <f>IF(AND($X$1=C12,O12&lt;&gt;""),Q$2, 0)</f>
        <v>125000</v>
      </c>
      <c r="U12" s="57">
        <f t="shared" ref="U12" si="9">IF(C12&gt;=T$3,U$2,0)</f>
        <v>0</v>
      </c>
      <c r="V12" s="57">
        <f>Q12*IF(O12&gt;$H$2,VLOOKUP(C12,$AZ$12:$BA$52,2),0)</f>
        <v>0</v>
      </c>
      <c r="W12" s="57">
        <f>MAX((D12-U12),V12,0)</f>
        <v>25000</v>
      </c>
      <c r="X12" s="57">
        <f>MAX(0,Q12+S12+R12-W12)</f>
        <v>361625</v>
      </c>
      <c r="Y12" s="57">
        <f t="shared" ref="Y12:Y52" si="10">MIN(W12,Q12)+U12</f>
        <v>25000</v>
      </c>
      <c r="Z12" s="57">
        <f t="shared" ref="Z12:Z52" si="11">MAX(0,D12-Y12)</f>
        <v>0</v>
      </c>
      <c r="AA12" s="107">
        <f>IF(AK$2="Y",MAX(0,T12-U12),0)</f>
        <v>125000</v>
      </c>
      <c r="AB12" s="14"/>
      <c r="AC12" s="59">
        <f t="shared" ref="AC12:AC52" si="12">C12</f>
        <v>70</v>
      </c>
      <c r="AD12" s="57">
        <f t="shared" ref="AD12:AD57" si="13">IF(OR(M12&gt;0,Z12&gt;0),0,AD$2*(K12-Y12))</f>
        <v>0</v>
      </c>
      <c r="AE12" s="57">
        <f>AD12</f>
        <v>0</v>
      </c>
      <c r="AF12" s="57">
        <f t="shared" ref="AF12:AF57" si="14">M12-Z12</f>
        <v>0</v>
      </c>
      <c r="AG12" s="57">
        <f>AF12</f>
        <v>0</v>
      </c>
      <c r="AH12" s="57">
        <f t="shared" ref="AH12:AH52" si="15">AF12+AD12</f>
        <v>0</v>
      </c>
      <c r="AI12" s="57">
        <f>AH12</f>
        <v>0</v>
      </c>
      <c r="AJ12" s="14"/>
      <c r="AK12" s="60">
        <f>L12</f>
        <v>490500</v>
      </c>
      <c r="AL12" s="60">
        <f>IF(ISNUMBER(X12)=TRUE,X12+IF(ISNUMBER(AA12)=TRUE,AA12),"")</f>
        <v>486625</v>
      </c>
      <c r="AM12" s="60"/>
      <c r="AO12" s="57">
        <f>IF(Charts!$Y$6=TRUE,Tables!AO3,0)</f>
        <v>0</v>
      </c>
      <c r="AP12" s="57">
        <f>IF(Charts!$Y$6=TRUE,Tables!AP3,0)</f>
        <v>0</v>
      </c>
      <c r="AQ12" s="57">
        <f>IF(Charts!$Y$6=TRUE,Tables!AQ3,0)</f>
        <v>0</v>
      </c>
      <c r="AR12" s="60">
        <f>IF(C12&lt;65,"",IF(C12&lt;75,(AP12-AO12),(AQ12-AO12)))</f>
        <v>0</v>
      </c>
      <c r="AZ12" s="87">
        <v>60</v>
      </c>
      <c r="BA12" s="88">
        <f>1/(90-AZ12)</f>
        <v>3.3333333333333333E-2</v>
      </c>
    </row>
    <row r="13" spans="1:53" s="55" customFormat="1" x14ac:dyDescent="0.3">
      <c r="C13" s="61">
        <f>IF(C12=0,"",IF(C12&lt;$AF$3,C12+1,""))</f>
        <v>71</v>
      </c>
      <c r="D13" s="62">
        <f>IF(C13&lt;&gt;"",IF(AND(C13=A$2,D12=0),D$4,IF(C13&gt;A$2,D12*(1+D$2),0)),0)</f>
        <v>25524.999999999996</v>
      </c>
      <c r="E13" s="63">
        <f>IF(C13&lt;&gt;"",IF(AND(F13&gt;0,A$2=C13),D13/F13,0),0)</f>
        <v>0</v>
      </c>
      <c r="F13" s="62">
        <f>IF(C13&lt;&gt;"",L12," ")</f>
        <v>490500</v>
      </c>
      <c r="G13" s="62">
        <f>IF(C13&lt;&gt;"",F13*C$2,0)</f>
        <v>15205.5</v>
      </c>
      <c r="H13" s="62">
        <f t="shared" si="2"/>
        <v>0</v>
      </c>
      <c r="I13" s="62">
        <f t="shared" ref="I13:I57" si="16">IF(C13&lt;&gt;"",F13*IF(C13&gt;H$2,VLOOKUP(C13,$AZ$12:$BA$52,2),0),0)</f>
        <v>0</v>
      </c>
      <c r="J13" s="62">
        <f t="shared" si="3"/>
        <v>25524.999999999996</v>
      </c>
      <c r="K13" s="62">
        <f t="shared" si="4"/>
        <v>25524.999999999996</v>
      </c>
      <c r="L13" s="62">
        <f>IF(C13&lt;&gt;"",MAX(0,F13+H13+G13-J13),"")</f>
        <v>480180.5</v>
      </c>
      <c r="M13" s="62">
        <f t="shared" si="6"/>
        <v>0</v>
      </c>
      <c r="O13" s="61">
        <f t="shared" ref="O13:O52" si="17">C13</f>
        <v>71</v>
      </c>
      <c r="P13" s="62">
        <f t="shared" ref="P13:P52" si="18">D13</f>
        <v>25524.999999999996</v>
      </c>
      <c r="Q13" s="62">
        <f>IF(O13&lt;&gt;"",X12," ")</f>
        <v>361625</v>
      </c>
      <c r="R13" s="62">
        <f>IF(O13&lt;&gt;"",Q13*C$2,0)</f>
        <v>11210.375</v>
      </c>
      <c r="S13" s="62">
        <f t="shared" si="8"/>
        <v>0</v>
      </c>
      <c r="T13" s="57">
        <f t="shared" ref="T13:T57" si="19">IF(AND($X$1=C13,O13&lt;&gt;""),Q$2, 0)</f>
        <v>0</v>
      </c>
      <c r="U13" s="62">
        <f>IF(AND(C13&gt;=T$3,C13&lt;&gt;""),U$2,0)</f>
        <v>0</v>
      </c>
      <c r="V13" s="62">
        <f t="shared" ref="V13:V57" si="20">IF(C13&lt;&gt;"",Q13*IF(O13&gt;$H$2,VLOOKUP(C13,$AZ$12:$BA$52,2),0),0)</f>
        <v>0</v>
      </c>
      <c r="W13" s="62">
        <f t="shared" ref="W13:W52" si="21">MAX((D13-U13),V13,0)</f>
        <v>25524.999999999996</v>
      </c>
      <c r="X13" s="62">
        <f>IF(O13&lt;&gt;"",MAX(0,Q13+S13+R13-W13-T13),"")</f>
        <v>347310.375</v>
      </c>
      <c r="Y13" s="62">
        <f t="shared" si="10"/>
        <v>25524.999999999996</v>
      </c>
      <c r="Z13" s="62">
        <f t="shared" si="11"/>
        <v>0</v>
      </c>
      <c r="AA13" s="62">
        <f>IF(AK$2="Y",MAX(0,T13-U13+AA12),0)</f>
        <v>125000</v>
      </c>
      <c r="AB13" s="14"/>
      <c r="AC13" s="64">
        <f t="shared" si="12"/>
        <v>71</v>
      </c>
      <c r="AD13" s="62">
        <f t="shared" si="13"/>
        <v>0</v>
      </c>
      <c r="AE13" s="62">
        <f>IF(AC13&lt;&gt;"", AE12+AD13," ")</f>
        <v>0</v>
      </c>
      <c r="AF13" s="62">
        <f t="shared" si="14"/>
        <v>0</v>
      </c>
      <c r="AG13" s="62">
        <f>IF(AC13&lt;&gt;"",AG12+AF13," ")</f>
        <v>0</v>
      </c>
      <c r="AH13" s="62">
        <f t="shared" si="15"/>
        <v>0</v>
      </c>
      <c r="AI13" s="62">
        <f>IF(AC13&lt;&gt;"", AH13+AI12," ")</f>
        <v>0</v>
      </c>
      <c r="AJ13" s="14"/>
      <c r="AK13" s="62">
        <f t="shared" ref="AK13:AK57" si="22">L13</f>
        <v>480180.5</v>
      </c>
      <c r="AL13" s="62">
        <f t="shared" ref="AL13:AL57" si="23">IF(ISNUMBER(X13)=TRUE,X13+IF(ISNUMBER(AA13)=TRUE,AA13),"")</f>
        <v>472310.375</v>
      </c>
      <c r="AM13" s="60"/>
      <c r="AO13" s="62">
        <f>(1+$D$2)*AO12</f>
        <v>0</v>
      </c>
      <c r="AP13" s="62">
        <f>(1+$D$2)*AP12</f>
        <v>0</v>
      </c>
      <c r="AQ13" s="62">
        <f>(1+$D$2)*AQ12</f>
        <v>0</v>
      </c>
      <c r="AR13" s="60">
        <f t="shared" ref="AR13:AR57" si="24">IF(AC13&lt;&gt;"",IF(C13&lt;65,"",IF(C13&lt;75,(AP13-AO13),(AQ13-AO13)))," ")</f>
        <v>0</v>
      </c>
      <c r="AZ13" s="89">
        <f>AZ12+1</f>
        <v>61</v>
      </c>
      <c r="BA13" s="90">
        <f t="shared" ref="BA13:BA16" si="25">1/(90-AZ13)</f>
        <v>3.4482758620689655E-2</v>
      </c>
    </row>
    <row r="14" spans="1:53" s="55" customFormat="1" x14ac:dyDescent="0.3">
      <c r="C14" s="61">
        <f t="shared" ref="C14:C57" si="26">IF(C13=0,"",IF(C13&lt;$AF$3,C13+1,""))</f>
        <v>72</v>
      </c>
      <c r="D14" s="62">
        <f t="shared" ref="D14:D57" si="27">IF(C14&lt;&gt;"",IF(AND(C14=A$2,D13=0),D$4,IF(C14&gt;A$2,D13*(1+D$2),0)),0)</f>
        <v>26061.024999999994</v>
      </c>
      <c r="E14" s="63">
        <f t="shared" ref="E14:E57" si="28">IF(C14&lt;&gt;"",IF(AND(F14&gt;0,A$2=C14),D14/F14,0),0)</f>
        <v>0</v>
      </c>
      <c r="F14" s="62">
        <f t="shared" ref="F14:F57" si="29">IF(C14&lt;&gt;"",L13," ")</f>
        <v>480180.5</v>
      </c>
      <c r="G14" s="62">
        <f t="shared" ref="G14:G57" si="30">IF(C14&lt;&gt;"",F14*C$2,0)</f>
        <v>14885.595499999999</v>
      </c>
      <c r="H14" s="62">
        <f t="shared" si="2"/>
        <v>0</v>
      </c>
      <c r="I14" s="62">
        <f t="shared" si="16"/>
        <v>25929.746999999999</v>
      </c>
      <c r="J14" s="62">
        <f t="shared" si="3"/>
        <v>26061.024999999994</v>
      </c>
      <c r="K14" s="62">
        <f t="shared" si="4"/>
        <v>26061.024999999994</v>
      </c>
      <c r="L14" s="62">
        <f t="shared" ref="L14:L57" si="31">IF(C14&lt;&gt;"",MAX(0,F14+H14+G14-J14),"")</f>
        <v>469005.07050000003</v>
      </c>
      <c r="M14" s="62">
        <f t="shared" si="6"/>
        <v>0</v>
      </c>
      <c r="N14" s="60"/>
      <c r="O14" s="61">
        <f t="shared" si="17"/>
        <v>72</v>
      </c>
      <c r="P14" s="62">
        <f t="shared" si="18"/>
        <v>26061.024999999994</v>
      </c>
      <c r="Q14" s="62">
        <f t="shared" ref="Q14:Q57" si="32">IF(O14&lt;&gt;"",X13," ")</f>
        <v>347310.375</v>
      </c>
      <c r="R14" s="62">
        <f t="shared" ref="R14:R57" si="33">IF(O14&lt;&gt;"",Q14*C$2,0)</f>
        <v>10766.621625</v>
      </c>
      <c r="S14" s="62">
        <f t="shared" si="8"/>
        <v>0</v>
      </c>
      <c r="T14" s="57">
        <f t="shared" si="19"/>
        <v>0</v>
      </c>
      <c r="U14" s="62">
        <f t="shared" ref="U14:U57" si="34">IF(AND(C14&gt;=T$3,C14&lt;&gt;""),U$2,0)</f>
        <v>0</v>
      </c>
      <c r="V14" s="62">
        <f t="shared" si="20"/>
        <v>18754.760249999999</v>
      </c>
      <c r="W14" s="62">
        <f t="shared" si="21"/>
        <v>26061.024999999994</v>
      </c>
      <c r="X14" s="62">
        <f t="shared" ref="X14:X57" si="35">IF(O14&lt;&gt;"",MAX(0,Q14+S14+R14-W14-T14),"")</f>
        <v>332015.97162500001</v>
      </c>
      <c r="Y14" s="62">
        <f t="shared" si="10"/>
        <v>26061.024999999994</v>
      </c>
      <c r="Z14" s="62">
        <f t="shared" si="11"/>
        <v>0</v>
      </c>
      <c r="AA14" s="62">
        <f t="shared" ref="AA14:AA57" si="36">IF(AK$2="Y",MAX(0,T14-U14+AA13),0)</f>
        <v>125000</v>
      </c>
      <c r="AB14" s="60"/>
      <c r="AC14" s="64">
        <f t="shared" si="12"/>
        <v>72</v>
      </c>
      <c r="AD14" s="62">
        <f t="shared" si="13"/>
        <v>0</v>
      </c>
      <c r="AE14" s="62">
        <f t="shared" ref="AE14:AE57" si="37">IF(AC14&lt;&gt;"", AE13+AD14," ")</f>
        <v>0</v>
      </c>
      <c r="AF14" s="62">
        <f t="shared" si="14"/>
        <v>0</v>
      </c>
      <c r="AG14" s="62">
        <f t="shared" ref="AG14:AG57" si="38">IF(AC14&lt;&gt;"",AG13+AF14," ")</f>
        <v>0</v>
      </c>
      <c r="AH14" s="62">
        <f t="shared" si="15"/>
        <v>0</v>
      </c>
      <c r="AI14" s="62">
        <f t="shared" ref="AI14:AI57" si="39">IF(AC14&lt;&gt;"", AH14+AI13," ")</f>
        <v>0</v>
      </c>
      <c r="AJ14" s="14"/>
      <c r="AK14" s="62">
        <f t="shared" si="22"/>
        <v>469005.07050000003</v>
      </c>
      <c r="AL14" s="62">
        <f t="shared" si="23"/>
        <v>457015.97162500001</v>
      </c>
      <c r="AM14" s="60"/>
      <c r="AO14" s="62">
        <f t="shared" ref="AO14:AO57" si="40">(1+$D$2)*AO13</f>
        <v>0</v>
      </c>
      <c r="AP14" s="62">
        <f t="shared" ref="AP14:AQ57" si="41">(1+$D$2)*AP13</f>
        <v>0</v>
      </c>
      <c r="AQ14" s="62">
        <f t="shared" si="41"/>
        <v>0</v>
      </c>
      <c r="AR14" s="60">
        <f t="shared" si="24"/>
        <v>0</v>
      </c>
      <c r="AZ14" s="89">
        <f t="shared" ref="AZ14:AZ16" si="42">AZ13+1</f>
        <v>62</v>
      </c>
      <c r="BA14" s="90">
        <f t="shared" si="25"/>
        <v>3.5714285714285712E-2</v>
      </c>
    </row>
    <row r="15" spans="1:53" s="55" customFormat="1" x14ac:dyDescent="0.3">
      <c r="C15" s="61">
        <f t="shared" si="26"/>
        <v>73</v>
      </c>
      <c r="D15" s="62">
        <f t="shared" si="27"/>
        <v>26608.306524999993</v>
      </c>
      <c r="E15" s="63">
        <f t="shared" si="28"/>
        <v>0</v>
      </c>
      <c r="F15" s="62">
        <f t="shared" si="29"/>
        <v>469005.07050000003</v>
      </c>
      <c r="G15" s="62">
        <f t="shared" si="30"/>
        <v>14539.1571855</v>
      </c>
      <c r="H15" s="62">
        <f t="shared" si="2"/>
        <v>0</v>
      </c>
      <c r="I15" s="62">
        <f t="shared" si="16"/>
        <v>25935.980398650001</v>
      </c>
      <c r="J15" s="62">
        <f t="shared" si="3"/>
        <v>26608.306524999993</v>
      </c>
      <c r="K15" s="62">
        <f t="shared" si="4"/>
        <v>26608.306524999993</v>
      </c>
      <c r="L15" s="62">
        <f t="shared" si="31"/>
        <v>456935.92116050003</v>
      </c>
      <c r="M15" s="62">
        <f t="shared" si="6"/>
        <v>0</v>
      </c>
      <c r="N15" s="60"/>
      <c r="O15" s="61">
        <f t="shared" si="17"/>
        <v>73</v>
      </c>
      <c r="P15" s="62">
        <f t="shared" si="18"/>
        <v>26608.306524999993</v>
      </c>
      <c r="Q15" s="62">
        <f t="shared" si="32"/>
        <v>332015.97162500001</v>
      </c>
      <c r="R15" s="62">
        <f t="shared" si="33"/>
        <v>10292.495120375001</v>
      </c>
      <c r="S15" s="62">
        <f t="shared" si="8"/>
        <v>0</v>
      </c>
      <c r="T15" s="57">
        <f t="shared" si="19"/>
        <v>0</v>
      </c>
      <c r="U15" s="62">
        <f t="shared" si="34"/>
        <v>0</v>
      </c>
      <c r="V15" s="62">
        <f t="shared" si="20"/>
        <v>18360.483230862501</v>
      </c>
      <c r="W15" s="62">
        <f t="shared" si="21"/>
        <v>26608.306524999993</v>
      </c>
      <c r="X15" s="62">
        <f t="shared" si="35"/>
        <v>315700.16022037505</v>
      </c>
      <c r="Y15" s="62">
        <f t="shared" si="10"/>
        <v>26608.306524999993</v>
      </c>
      <c r="Z15" s="62">
        <f t="shared" si="11"/>
        <v>0</v>
      </c>
      <c r="AA15" s="62">
        <f t="shared" si="36"/>
        <v>125000</v>
      </c>
      <c r="AB15" s="60"/>
      <c r="AC15" s="64">
        <f t="shared" si="12"/>
        <v>73</v>
      </c>
      <c r="AD15" s="62">
        <f t="shared" si="13"/>
        <v>0</v>
      </c>
      <c r="AE15" s="62">
        <f t="shared" si="37"/>
        <v>0</v>
      </c>
      <c r="AF15" s="62">
        <f t="shared" si="14"/>
        <v>0</v>
      </c>
      <c r="AG15" s="62">
        <f t="shared" si="38"/>
        <v>0</v>
      </c>
      <c r="AH15" s="62">
        <f t="shared" si="15"/>
        <v>0</v>
      </c>
      <c r="AI15" s="62">
        <f t="shared" si="39"/>
        <v>0</v>
      </c>
      <c r="AJ15" s="60"/>
      <c r="AK15" s="62">
        <f t="shared" si="22"/>
        <v>456935.92116050003</v>
      </c>
      <c r="AL15" s="62">
        <f t="shared" si="23"/>
        <v>440700.16022037505</v>
      </c>
      <c r="AM15" s="60"/>
      <c r="AO15" s="62">
        <f t="shared" si="40"/>
        <v>0</v>
      </c>
      <c r="AP15" s="62">
        <f t="shared" si="41"/>
        <v>0</v>
      </c>
      <c r="AQ15" s="62">
        <f t="shared" si="41"/>
        <v>0</v>
      </c>
      <c r="AR15" s="60">
        <f t="shared" si="24"/>
        <v>0</v>
      </c>
      <c r="AZ15" s="89">
        <f t="shared" si="42"/>
        <v>63</v>
      </c>
      <c r="BA15" s="90">
        <f t="shared" si="25"/>
        <v>3.7037037037037035E-2</v>
      </c>
    </row>
    <row r="16" spans="1:53" s="55" customFormat="1" x14ac:dyDescent="0.3">
      <c r="C16" s="61">
        <f t="shared" si="26"/>
        <v>74</v>
      </c>
      <c r="D16" s="62">
        <f t="shared" si="27"/>
        <v>27167.080962024989</v>
      </c>
      <c r="E16" s="63">
        <f t="shared" si="28"/>
        <v>0</v>
      </c>
      <c r="F16" s="62">
        <f t="shared" si="29"/>
        <v>456935.92116050003</v>
      </c>
      <c r="G16" s="62">
        <f t="shared" si="30"/>
        <v>14165.013555975502</v>
      </c>
      <c r="H16" s="62">
        <f t="shared" si="2"/>
        <v>0</v>
      </c>
      <c r="I16" s="62">
        <f t="shared" si="16"/>
        <v>25908.266729800351</v>
      </c>
      <c r="J16" s="62">
        <f t="shared" si="3"/>
        <v>27167.080962024989</v>
      </c>
      <c r="K16" s="62">
        <f t="shared" si="4"/>
        <v>27167.080962024989</v>
      </c>
      <c r="L16" s="62">
        <f t="shared" si="31"/>
        <v>443933.85375445057</v>
      </c>
      <c r="M16" s="62">
        <f t="shared" si="6"/>
        <v>0</v>
      </c>
      <c r="N16" s="60"/>
      <c r="O16" s="61">
        <f t="shared" si="17"/>
        <v>74</v>
      </c>
      <c r="P16" s="62">
        <f t="shared" si="18"/>
        <v>27167.080962024989</v>
      </c>
      <c r="Q16" s="62">
        <f t="shared" si="32"/>
        <v>315700.16022037505</v>
      </c>
      <c r="R16" s="62">
        <f t="shared" si="33"/>
        <v>9786.7049668316267</v>
      </c>
      <c r="S16" s="62">
        <f t="shared" si="8"/>
        <v>0</v>
      </c>
      <c r="T16" s="57">
        <f t="shared" si="19"/>
        <v>0</v>
      </c>
      <c r="U16" s="62">
        <f t="shared" si="34"/>
        <v>0</v>
      </c>
      <c r="V16" s="62">
        <f t="shared" si="20"/>
        <v>17900.199084495267</v>
      </c>
      <c r="W16" s="62">
        <f t="shared" si="21"/>
        <v>27167.080962024989</v>
      </c>
      <c r="X16" s="62">
        <f t="shared" si="35"/>
        <v>298319.78422518168</v>
      </c>
      <c r="Y16" s="62">
        <f t="shared" si="10"/>
        <v>27167.080962024989</v>
      </c>
      <c r="Z16" s="62">
        <f t="shared" si="11"/>
        <v>0</v>
      </c>
      <c r="AA16" s="62">
        <f t="shared" si="36"/>
        <v>125000</v>
      </c>
      <c r="AB16" s="60"/>
      <c r="AC16" s="64">
        <f t="shared" si="12"/>
        <v>74</v>
      </c>
      <c r="AD16" s="62">
        <f t="shared" si="13"/>
        <v>0</v>
      </c>
      <c r="AE16" s="62">
        <f t="shared" si="37"/>
        <v>0</v>
      </c>
      <c r="AF16" s="62">
        <f t="shared" si="14"/>
        <v>0</v>
      </c>
      <c r="AG16" s="62">
        <f t="shared" si="38"/>
        <v>0</v>
      </c>
      <c r="AH16" s="62">
        <f t="shared" si="15"/>
        <v>0</v>
      </c>
      <c r="AI16" s="62">
        <f t="shared" si="39"/>
        <v>0</v>
      </c>
      <c r="AJ16" s="60"/>
      <c r="AK16" s="62">
        <f t="shared" si="22"/>
        <v>443933.85375445057</v>
      </c>
      <c r="AL16" s="62">
        <f t="shared" si="23"/>
        <v>423319.78422518168</v>
      </c>
      <c r="AM16" s="60"/>
      <c r="AO16" s="62">
        <f t="shared" si="40"/>
        <v>0</v>
      </c>
      <c r="AP16" s="62">
        <f t="shared" si="41"/>
        <v>0</v>
      </c>
      <c r="AQ16" s="62">
        <f t="shared" si="41"/>
        <v>0</v>
      </c>
      <c r="AR16" s="60">
        <f t="shared" si="24"/>
        <v>0</v>
      </c>
      <c r="AZ16" s="89">
        <f t="shared" si="42"/>
        <v>64</v>
      </c>
      <c r="BA16" s="90">
        <f t="shared" si="25"/>
        <v>3.8461538461538464E-2</v>
      </c>
    </row>
    <row r="17" spans="3:53" s="55" customFormat="1" x14ac:dyDescent="0.3">
      <c r="C17" s="61">
        <f t="shared" si="26"/>
        <v>75</v>
      </c>
      <c r="D17" s="62">
        <f t="shared" si="27"/>
        <v>27737.58966222751</v>
      </c>
      <c r="E17" s="63">
        <f t="shared" si="28"/>
        <v>0</v>
      </c>
      <c r="F17" s="62">
        <f t="shared" si="29"/>
        <v>443933.85375445057</v>
      </c>
      <c r="G17" s="62">
        <f t="shared" si="30"/>
        <v>13761.949466387967</v>
      </c>
      <c r="H17" s="62">
        <f t="shared" si="2"/>
        <v>0</v>
      </c>
      <c r="I17" s="62">
        <f t="shared" si="16"/>
        <v>25836.950288509022</v>
      </c>
      <c r="J17" s="62">
        <f t="shared" si="3"/>
        <v>27737.58966222751</v>
      </c>
      <c r="K17" s="62">
        <f t="shared" si="4"/>
        <v>27737.58966222751</v>
      </c>
      <c r="L17" s="62">
        <f t="shared" si="31"/>
        <v>429958.21355861105</v>
      </c>
      <c r="M17" s="62">
        <f t="shared" si="6"/>
        <v>0</v>
      </c>
      <c r="N17" s="60"/>
      <c r="O17" s="61">
        <f t="shared" si="17"/>
        <v>75</v>
      </c>
      <c r="P17" s="62">
        <f t="shared" si="18"/>
        <v>27737.58966222751</v>
      </c>
      <c r="Q17" s="62">
        <f t="shared" si="32"/>
        <v>298319.78422518168</v>
      </c>
      <c r="R17" s="62">
        <f t="shared" si="33"/>
        <v>9247.9133109806316</v>
      </c>
      <c r="S17" s="62">
        <f t="shared" si="8"/>
        <v>0</v>
      </c>
      <c r="T17" s="57">
        <f t="shared" si="19"/>
        <v>0</v>
      </c>
      <c r="U17" s="62">
        <f t="shared" si="34"/>
        <v>0</v>
      </c>
      <c r="V17" s="62">
        <f t="shared" si="20"/>
        <v>17362.211441905572</v>
      </c>
      <c r="W17" s="62">
        <f t="shared" si="21"/>
        <v>27737.58966222751</v>
      </c>
      <c r="X17" s="62">
        <f t="shared" si="35"/>
        <v>279830.10787393484</v>
      </c>
      <c r="Y17" s="62">
        <f t="shared" si="10"/>
        <v>27737.58966222751</v>
      </c>
      <c r="Z17" s="62">
        <f t="shared" si="11"/>
        <v>0</v>
      </c>
      <c r="AA17" s="62">
        <f t="shared" si="36"/>
        <v>125000</v>
      </c>
      <c r="AB17" s="60"/>
      <c r="AC17" s="64">
        <f t="shared" si="12"/>
        <v>75</v>
      </c>
      <c r="AD17" s="62">
        <f t="shared" si="13"/>
        <v>0</v>
      </c>
      <c r="AE17" s="62">
        <f t="shared" si="37"/>
        <v>0</v>
      </c>
      <c r="AF17" s="62">
        <f t="shared" si="14"/>
        <v>0</v>
      </c>
      <c r="AG17" s="62">
        <f t="shared" si="38"/>
        <v>0</v>
      </c>
      <c r="AH17" s="62">
        <f t="shared" si="15"/>
        <v>0</v>
      </c>
      <c r="AI17" s="62">
        <f t="shared" si="39"/>
        <v>0</v>
      </c>
      <c r="AJ17" s="60"/>
      <c r="AK17" s="62">
        <f t="shared" si="22"/>
        <v>429958.21355861105</v>
      </c>
      <c r="AL17" s="62">
        <f t="shared" si="23"/>
        <v>404830.10787393484</v>
      </c>
      <c r="AM17" s="60"/>
      <c r="AO17" s="62">
        <f t="shared" si="40"/>
        <v>0</v>
      </c>
      <c r="AP17" s="62">
        <f t="shared" si="41"/>
        <v>0</v>
      </c>
      <c r="AQ17" s="62">
        <f t="shared" si="41"/>
        <v>0</v>
      </c>
      <c r="AR17" s="60">
        <f t="shared" si="24"/>
        <v>0</v>
      </c>
      <c r="AZ17" s="89">
        <v>65</v>
      </c>
      <c r="BA17" s="90">
        <f t="shared" ref="BA17:BA22" si="43">1/(90-AZ17)</f>
        <v>0.04</v>
      </c>
    </row>
    <row r="18" spans="3:53" s="55" customFormat="1" x14ac:dyDescent="0.3">
      <c r="C18" s="61">
        <f t="shared" si="26"/>
        <v>76</v>
      </c>
      <c r="D18" s="62">
        <f t="shared" si="27"/>
        <v>28320.079045134287</v>
      </c>
      <c r="E18" s="63">
        <f t="shared" si="28"/>
        <v>0</v>
      </c>
      <c r="F18" s="62">
        <f t="shared" si="29"/>
        <v>429958.21355861105</v>
      </c>
      <c r="G18" s="62">
        <f t="shared" si="30"/>
        <v>13328.704620316943</v>
      </c>
      <c r="H18" s="62">
        <f t="shared" si="2"/>
        <v>0</v>
      </c>
      <c r="I18" s="62">
        <f t="shared" si="16"/>
        <v>25711.501170804939</v>
      </c>
      <c r="J18" s="62">
        <f t="shared" si="3"/>
        <v>28320.079045134287</v>
      </c>
      <c r="K18" s="62">
        <f t="shared" si="4"/>
        <v>28320.079045134287</v>
      </c>
      <c r="L18" s="62">
        <f t="shared" si="31"/>
        <v>414966.83913379366</v>
      </c>
      <c r="M18" s="62">
        <f t="shared" si="6"/>
        <v>0</v>
      </c>
      <c r="N18" s="60"/>
      <c r="O18" s="61">
        <f t="shared" si="17"/>
        <v>76</v>
      </c>
      <c r="P18" s="62">
        <f t="shared" si="18"/>
        <v>28320.079045134287</v>
      </c>
      <c r="Q18" s="62">
        <f t="shared" si="32"/>
        <v>279830.10787393484</v>
      </c>
      <c r="R18" s="62">
        <f t="shared" si="33"/>
        <v>8674.7333440919792</v>
      </c>
      <c r="S18" s="62">
        <f t="shared" si="8"/>
        <v>0</v>
      </c>
      <c r="T18" s="57">
        <f t="shared" si="19"/>
        <v>0</v>
      </c>
      <c r="U18" s="62">
        <f t="shared" si="34"/>
        <v>0</v>
      </c>
      <c r="V18" s="62">
        <f t="shared" si="20"/>
        <v>16733.840450861302</v>
      </c>
      <c r="W18" s="62">
        <f t="shared" si="21"/>
        <v>28320.079045134287</v>
      </c>
      <c r="X18" s="62">
        <f t="shared" si="35"/>
        <v>260184.76217289254</v>
      </c>
      <c r="Y18" s="62">
        <f t="shared" si="10"/>
        <v>28320.079045134287</v>
      </c>
      <c r="Z18" s="62">
        <f t="shared" si="11"/>
        <v>0</v>
      </c>
      <c r="AA18" s="62">
        <f t="shared" si="36"/>
        <v>125000</v>
      </c>
      <c r="AB18" s="60"/>
      <c r="AC18" s="64">
        <f t="shared" si="12"/>
        <v>76</v>
      </c>
      <c r="AD18" s="62">
        <f t="shared" si="13"/>
        <v>0</v>
      </c>
      <c r="AE18" s="62">
        <f t="shared" si="37"/>
        <v>0</v>
      </c>
      <c r="AF18" s="62">
        <f t="shared" si="14"/>
        <v>0</v>
      </c>
      <c r="AG18" s="62">
        <f t="shared" si="38"/>
        <v>0</v>
      </c>
      <c r="AH18" s="62">
        <f t="shared" si="15"/>
        <v>0</v>
      </c>
      <c r="AI18" s="62">
        <f t="shared" si="39"/>
        <v>0</v>
      </c>
      <c r="AJ18" s="60"/>
      <c r="AK18" s="62">
        <f t="shared" si="22"/>
        <v>414966.83913379366</v>
      </c>
      <c r="AL18" s="62">
        <f t="shared" si="23"/>
        <v>385184.76217289257</v>
      </c>
      <c r="AM18" s="60"/>
      <c r="AO18" s="62">
        <f t="shared" si="40"/>
        <v>0</v>
      </c>
      <c r="AP18" s="62">
        <f t="shared" si="41"/>
        <v>0</v>
      </c>
      <c r="AQ18" s="62">
        <f t="shared" si="41"/>
        <v>0</v>
      </c>
      <c r="AR18" s="60">
        <f t="shared" si="24"/>
        <v>0</v>
      </c>
      <c r="AZ18" s="89">
        <f t="shared" ref="AZ18:AZ52" si="44">AZ17+1</f>
        <v>66</v>
      </c>
      <c r="BA18" s="90">
        <f t="shared" si="43"/>
        <v>4.1666666666666664E-2</v>
      </c>
    </row>
    <row r="19" spans="3:53" s="55" customFormat="1" x14ac:dyDescent="0.3">
      <c r="C19" s="61">
        <f t="shared" si="26"/>
        <v>77</v>
      </c>
      <c r="D19" s="62">
        <f t="shared" si="27"/>
        <v>28914.800705082103</v>
      </c>
      <c r="E19" s="63">
        <f t="shared" si="28"/>
        <v>0</v>
      </c>
      <c r="F19" s="62">
        <f t="shared" si="29"/>
        <v>414966.83913379366</v>
      </c>
      <c r="G19" s="62">
        <f t="shared" si="30"/>
        <v>12863.972013147604</v>
      </c>
      <c r="H19" s="62">
        <f t="shared" si="2"/>
        <v>0</v>
      </c>
      <c r="I19" s="62">
        <f t="shared" si="16"/>
        <v>25603.453974555068</v>
      </c>
      <c r="J19" s="62">
        <f t="shared" si="3"/>
        <v>28914.800705082103</v>
      </c>
      <c r="K19" s="62">
        <f t="shared" si="4"/>
        <v>28914.800705082103</v>
      </c>
      <c r="L19" s="62">
        <f t="shared" si="31"/>
        <v>398916.01044185914</v>
      </c>
      <c r="M19" s="62">
        <f t="shared" si="6"/>
        <v>0</v>
      </c>
      <c r="N19" s="60"/>
      <c r="O19" s="61">
        <f t="shared" si="17"/>
        <v>77</v>
      </c>
      <c r="P19" s="62">
        <f t="shared" si="18"/>
        <v>28914.800705082103</v>
      </c>
      <c r="Q19" s="62">
        <f t="shared" si="32"/>
        <v>260184.76217289254</v>
      </c>
      <c r="R19" s="62">
        <f t="shared" si="33"/>
        <v>8065.727627359669</v>
      </c>
      <c r="S19" s="62">
        <f t="shared" si="8"/>
        <v>0</v>
      </c>
      <c r="T19" s="57">
        <f t="shared" si="19"/>
        <v>0</v>
      </c>
      <c r="U19" s="62">
        <f t="shared" si="34"/>
        <v>0</v>
      </c>
      <c r="V19" s="62">
        <f t="shared" si="20"/>
        <v>16053.399826067469</v>
      </c>
      <c r="W19" s="62">
        <f t="shared" si="21"/>
        <v>28914.800705082103</v>
      </c>
      <c r="X19" s="62">
        <f t="shared" si="35"/>
        <v>239335.68909517009</v>
      </c>
      <c r="Y19" s="62">
        <f t="shared" si="10"/>
        <v>28914.800705082103</v>
      </c>
      <c r="Z19" s="62">
        <f t="shared" si="11"/>
        <v>0</v>
      </c>
      <c r="AA19" s="62">
        <f t="shared" si="36"/>
        <v>125000</v>
      </c>
      <c r="AB19" s="60"/>
      <c r="AC19" s="64">
        <f t="shared" si="12"/>
        <v>77</v>
      </c>
      <c r="AD19" s="62">
        <f t="shared" si="13"/>
        <v>0</v>
      </c>
      <c r="AE19" s="62">
        <f t="shared" si="37"/>
        <v>0</v>
      </c>
      <c r="AF19" s="62">
        <f t="shared" si="14"/>
        <v>0</v>
      </c>
      <c r="AG19" s="62">
        <f t="shared" si="38"/>
        <v>0</v>
      </c>
      <c r="AH19" s="62">
        <f t="shared" si="15"/>
        <v>0</v>
      </c>
      <c r="AI19" s="62">
        <f t="shared" si="39"/>
        <v>0</v>
      </c>
      <c r="AJ19" s="60"/>
      <c r="AK19" s="62">
        <f t="shared" si="22"/>
        <v>398916.01044185914</v>
      </c>
      <c r="AL19" s="62">
        <f t="shared" si="23"/>
        <v>364335.68909517012</v>
      </c>
      <c r="AM19" s="60"/>
      <c r="AO19" s="62">
        <f t="shared" si="40"/>
        <v>0</v>
      </c>
      <c r="AP19" s="62">
        <f t="shared" si="41"/>
        <v>0</v>
      </c>
      <c r="AQ19" s="62">
        <f t="shared" si="41"/>
        <v>0</v>
      </c>
      <c r="AR19" s="60">
        <f t="shared" si="24"/>
        <v>0</v>
      </c>
      <c r="AZ19" s="89">
        <f t="shared" si="44"/>
        <v>67</v>
      </c>
      <c r="BA19" s="90">
        <f t="shared" si="43"/>
        <v>4.3478260869565216E-2</v>
      </c>
    </row>
    <row r="20" spans="3:53" s="55" customFormat="1" x14ac:dyDescent="0.3">
      <c r="C20" s="61">
        <f t="shared" si="26"/>
        <v>78</v>
      </c>
      <c r="D20" s="62">
        <f t="shared" si="27"/>
        <v>29522.011519888823</v>
      </c>
      <c r="E20" s="63">
        <f t="shared" si="28"/>
        <v>0</v>
      </c>
      <c r="F20" s="62">
        <f t="shared" si="29"/>
        <v>398916.01044185914</v>
      </c>
      <c r="G20" s="62">
        <f t="shared" si="30"/>
        <v>12366.396323697632</v>
      </c>
      <c r="H20" s="62">
        <f t="shared" si="2"/>
        <v>0</v>
      </c>
      <c r="I20" s="62">
        <f t="shared" si="16"/>
        <v>25371.058264102241</v>
      </c>
      <c r="J20" s="62">
        <f t="shared" si="3"/>
        <v>29522.011519888823</v>
      </c>
      <c r="K20" s="62">
        <f t="shared" si="4"/>
        <v>29522.011519888823</v>
      </c>
      <c r="L20" s="62">
        <f t="shared" si="31"/>
        <v>381760.39524566795</v>
      </c>
      <c r="M20" s="62">
        <f t="shared" si="6"/>
        <v>0</v>
      </c>
      <c r="N20" s="60"/>
      <c r="O20" s="61">
        <f t="shared" si="17"/>
        <v>78</v>
      </c>
      <c r="P20" s="62">
        <f t="shared" si="18"/>
        <v>29522.011519888823</v>
      </c>
      <c r="Q20" s="62">
        <f t="shared" si="32"/>
        <v>239335.68909517009</v>
      </c>
      <c r="R20" s="62">
        <f t="shared" si="33"/>
        <v>7419.4063619502731</v>
      </c>
      <c r="S20" s="62">
        <f t="shared" si="8"/>
        <v>0</v>
      </c>
      <c r="T20" s="57">
        <f t="shared" si="19"/>
        <v>0</v>
      </c>
      <c r="U20" s="62">
        <f t="shared" si="34"/>
        <v>0</v>
      </c>
      <c r="V20" s="62">
        <f t="shared" si="20"/>
        <v>15221.749826452819</v>
      </c>
      <c r="W20" s="62">
        <f t="shared" si="21"/>
        <v>29522.011519888823</v>
      </c>
      <c r="X20" s="62">
        <f t="shared" si="35"/>
        <v>217233.08393723154</v>
      </c>
      <c r="Y20" s="62">
        <f t="shared" si="10"/>
        <v>29522.011519888823</v>
      </c>
      <c r="Z20" s="62">
        <f t="shared" si="11"/>
        <v>0</v>
      </c>
      <c r="AA20" s="62">
        <f t="shared" si="36"/>
        <v>125000</v>
      </c>
      <c r="AB20" s="60"/>
      <c r="AC20" s="64">
        <f t="shared" si="12"/>
        <v>78</v>
      </c>
      <c r="AD20" s="62">
        <f t="shared" si="13"/>
        <v>0</v>
      </c>
      <c r="AE20" s="62">
        <f t="shared" si="37"/>
        <v>0</v>
      </c>
      <c r="AF20" s="62">
        <f t="shared" si="14"/>
        <v>0</v>
      </c>
      <c r="AG20" s="62">
        <f t="shared" si="38"/>
        <v>0</v>
      </c>
      <c r="AH20" s="62">
        <f t="shared" si="15"/>
        <v>0</v>
      </c>
      <c r="AI20" s="62">
        <f t="shared" si="39"/>
        <v>0</v>
      </c>
      <c r="AJ20" s="60"/>
      <c r="AK20" s="62">
        <f t="shared" si="22"/>
        <v>381760.39524566795</v>
      </c>
      <c r="AL20" s="62">
        <f t="shared" si="23"/>
        <v>342233.08393723157</v>
      </c>
      <c r="AM20" s="60"/>
      <c r="AO20" s="62">
        <f t="shared" si="40"/>
        <v>0</v>
      </c>
      <c r="AP20" s="62">
        <f t="shared" si="41"/>
        <v>0</v>
      </c>
      <c r="AQ20" s="62">
        <f t="shared" si="41"/>
        <v>0</v>
      </c>
      <c r="AR20" s="60">
        <f t="shared" si="24"/>
        <v>0</v>
      </c>
      <c r="AZ20" s="89">
        <f t="shared" si="44"/>
        <v>68</v>
      </c>
      <c r="BA20" s="90">
        <f t="shared" si="43"/>
        <v>4.5454545454545456E-2</v>
      </c>
    </row>
    <row r="21" spans="3:53" s="55" customFormat="1" x14ac:dyDescent="0.3">
      <c r="C21" s="61">
        <f t="shared" si="26"/>
        <v>79</v>
      </c>
      <c r="D21" s="62">
        <f t="shared" si="27"/>
        <v>30141.973761806486</v>
      </c>
      <c r="E21" s="63">
        <f t="shared" si="28"/>
        <v>0</v>
      </c>
      <c r="F21" s="62">
        <f t="shared" si="29"/>
        <v>381760.39524566795</v>
      </c>
      <c r="G21" s="62">
        <f t="shared" si="30"/>
        <v>11834.572252615706</v>
      </c>
      <c r="H21" s="62">
        <f t="shared" si="2"/>
        <v>0</v>
      </c>
      <c r="I21" s="62">
        <f t="shared" si="16"/>
        <v>25119.834007164951</v>
      </c>
      <c r="J21" s="62">
        <f t="shared" si="3"/>
        <v>30141.973761806486</v>
      </c>
      <c r="K21" s="62">
        <f t="shared" si="4"/>
        <v>30141.973761806486</v>
      </c>
      <c r="L21" s="62">
        <f t="shared" si="31"/>
        <v>363452.99373647716</v>
      </c>
      <c r="M21" s="62">
        <f t="shared" si="6"/>
        <v>0</v>
      </c>
      <c r="N21" s="60"/>
      <c r="O21" s="61">
        <f t="shared" si="17"/>
        <v>79</v>
      </c>
      <c r="P21" s="62">
        <f t="shared" si="18"/>
        <v>30141.973761806486</v>
      </c>
      <c r="Q21" s="62">
        <f t="shared" si="32"/>
        <v>217233.08393723154</v>
      </c>
      <c r="R21" s="62">
        <f t="shared" si="33"/>
        <v>6734.2256020541772</v>
      </c>
      <c r="S21" s="62">
        <f t="shared" si="8"/>
        <v>0</v>
      </c>
      <c r="T21" s="57">
        <f t="shared" si="19"/>
        <v>0</v>
      </c>
      <c r="U21" s="62">
        <f t="shared" si="34"/>
        <v>0</v>
      </c>
      <c r="V21" s="62">
        <f t="shared" si="20"/>
        <v>14293.936923069834</v>
      </c>
      <c r="W21" s="62">
        <f t="shared" si="21"/>
        <v>30141.973761806486</v>
      </c>
      <c r="X21" s="62">
        <f t="shared" si="35"/>
        <v>193825.33577747922</v>
      </c>
      <c r="Y21" s="62">
        <f t="shared" si="10"/>
        <v>30141.973761806486</v>
      </c>
      <c r="Z21" s="62">
        <f t="shared" si="11"/>
        <v>0</v>
      </c>
      <c r="AA21" s="62">
        <f t="shared" si="36"/>
        <v>125000</v>
      </c>
      <c r="AB21" s="60"/>
      <c r="AC21" s="64">
        <f t="shared" si="12"/>
        <v>79</v>
      </c>
      <c r="AD21" s="62">
        <f t="shared" si="13"/>
        <v>0</v>
      </c>
      <c r="AE21" s="62">
        <f t="shared" si="37"/>
        <v>0</v>
      </c>
      <c r="AF21" s="62">
        <f t="shared" si="14"/>
        <v>0</v>
      </c>
      <c r="AG21" s="62">
        <f t="shared" si="38"/>
        <v>0</v>
      </c>
      <c r="AH21" s="62">
        <f t="shared" si="15"/>
        <v>0</v>
      </c>
      <c r="AI21" s="62">
        <f t="shared" si="39"/>
        <v>0</v>
      </c>
      <c r="AJ21" s="60"/>
      <c r="AK21" s="62">
        <f t="shared" si="22"/>
        <v>363452.99373647716</v>
      </c>
      <c r="AL21" s="62">
        <f t="shared" si="23"/>
        <v>318825.33577747922</v>
      </c>
      <c r="AM21" s="60"/>
      <c r="AO21" s="62">
        <f t="shared" si="40"/>
        <v>0</v>
      </c>
      <c r="AP21" s="62">
        <f t="shared" si="41"/>
        <v>0</v>
      </c>
      <c r="AQ21" s="62">
        <f t="shared" si="41"/>
        <v>0</v>
      </c>
      <c r="AR21" s="60">
        <f t="shared" si="24"/>
        <v>0</v>
      </c>
      <c r="AZ21" s="89">
        <f t="shared" si="44"/>
        <v>69</v>
      </c>
      <c r="BA21" s="90">
        <f t="shared" si="43"/>
        <v>4.7619047619047616E-2</v>
      </c>
    </row>
    <row r="22" spans="3:53" s="55" customFormat="1" x14ac:dyDescent="0.3">
      <c r="C22" s="61">
        <f t="shared" si="26"/>
        <v>80</v>
      </c>
      <c r="D22" s="62">
        <f t="shared" si="27"/>
        <v>30774.955210804419</v>
      </c>
      <c r="E22" s="63">
        <f t="shared" si="28"/>
        <v>0</v>
      </c>
      <c r="F22" s="62">
        <f t="shared" si="29"/>
        <v>363452.99373647716</v>
      </c>
      <c r="G22" s="62">
        <f t="shared" si="30"/>
        <v>11267.042805830792</v>
      </c>
      <c r="H22" s="62">
        <f t="shared" si="2"/>
        <v>0</v>
      </c>
      <c r="I22" s="62">
        <f t="shared" si="16"/>
        <v>24787.494172827741</v>
      </c>
      <c r="J22" s="62">
        <f t="shared" si="3"/>
        <v>30774.955210804419</v>
      </c>
      <c r="K22" s="62">
        <f t="shared" si="4"/>
        <v>30774.955210804419</v>
      </c>
      <c r="L22" s="62">
        <f t="shared" si="31"/>
        <v>343945.08133150352</v>
      </c>
      <c r="M22" s="62">
        <f t="shared" si="6"/>
        <v>0</v>
      </c>
      <c r="N22" s="60"/>
      <c r="O22" s="61">
        <f t="shared" si="17"/>
        <v>80</v>
      </c>
      <c r="P22" s="62">
        <f t="shared" si="18"/>
        <v>30774.955210804419</v>
      </c>
      <c r="Q22" s="62">
        <f t="shared" si="32"/>
        <v>193825.33577747922</v>
      </c>
      <c r="R22" s="62">
        <f t="shared" si="33"/>
        <v>6008.5854091018555</v>
      </c>
      <c r="S22" s="62">
        <f t="shared" si="8"/>
        <v>0</v>
      </c>
      <c r="T22" s="57">
        <f t="shared" si="19"/>
        <v>0</v>
      </c>
      <c r="U22" s="62">
        <f t="shared" si="34"/>
        <v>0</v>
      </c>
      <c r="V22" s="62">
        <f t="shared" si="20"/>
        <v>13218.887900024083</v>
      </c>
      <c r="W22" s="62">
        <f t="shared" si="21"/>
        <v>30774.955210804419</v>
      </c>
      <c r="X22" s="62">
        <f t="shared" si="35"/>
        <v>169058.96597577666</v>
      </c>
      <c r="Y22" s="62">
        <f t="shared" si="10"/>
        <v>30774.955210804419</v>
      </c>
      <c r="Z22" s="62">
        <f t="shared" si="11"/>
        <v>0</v>
      </c>
      <c r="AA22" s="62">
        <f t="shared" si="36"/>
        <v>125000</v>
      </c>
      <c r="AB22" s="60"/>
      <c r="AC22" s="64">
        <f t="shared" si="12"/>
        <v>80</v>
      </c>
      <c r="AD22" s="62">
        <f t="shared" si="13"/>
        <v>0</v>
      </c>
      <c r="AE22" s="62">
        <f t="shared" si="37"/>
        <v>0</v>
      </c>
      <c r="AF22" s="62">
        <f t="shared" si="14"/>
        <v>0</v>
      </c>
      <c r="AG22" s="62">
        <f t="shared" si="38"/>
        <v>0</v>
      </c>
      <c r="AH22" s="62">
        <f t="shared" si="15"/>
        <v>0</v>
      </c>
      <c r="AI22" s="62">
        <f t="shared" si="39"/>
        <v>0</v>
      </c>
      <c r="AJ22" s="60"/>
      <c r="AK22" s="62">
        <f t="shared" si="22"/>
        <v>343945.08133150352</v>
      </c>
      <c r="AL22" s="62">
        <f t="shared" si="23"/>
        <v>294058.96597577666</v>
      </c>
      <c r="AM22" s="60"/>
      <c r="AO22" s="62">
        <f t="shared" si="40"/>
        <v>0</v>
      </c>
      <c r="AP22" s="62">
        <f t="shared" si="41"/>
        <v>0</v>
      </c>
      <c r="AQ22" s="62">
        <f t="shared" si="41"/>
        <v>0</v>
      </c>
      <c r="AR22" s="60">
        <f t="shared" si="24"/>
        <v>0</v>
      </c>
      <c r="AZ22" s="89">
        <f t="shared" si="44"/>
        <v>70</v>
      </c>
      <c r="BA22" s="90">
        <f t="shared" si="43"/>
        <v>0.05</v>
      </c>
    </row>
    <row r="23" spans="3:53" s="55" customFormat="1" x14ac:dyDescent="0.3">
      <c r="C23" s="61">
        <f t="shared" si="26"/>
        <v>81</v>
      </c>
      <c r="D23" s="62">
        <f t="shared" si="27"/>
        <v>31421.22927023131</v>
      </c>
      <c r="E23" s="63">
        <f t="shared" si="28"/>
        <v>0</v>
      </c>
      <c r="F23" s="62">
        <f t="shared" si="29"/>
        <v>343945.08133150352</v>
      </c>
      <c r="G23" s="62">
        <f t="shared" si="30"/>
        <v>10662.297521276609</v>
      </c>
      <c r="H23" s="62">
        <f t="shared" si="2"/>
        <v>0</v>
      </c>
      <c r="I23" s="62">
        <f t="shared" si="16"/>
        <v>24351.311758270451</v>
      </c>
      <c r="J23" s="62">
        <f t="shared" si="3"/>
        <v>31421.22927023131</v>
      </c>
      <c r="K23" s="62">
        <f t="shared" si="4"/>
        <v>31421.22927023131</v>
      </c>
      <c r="L23" s="62">
        <f t="shared" si="31"/>
        <v>323186.14958254882</v>
      </c>
      <c r="M23" s="62">
        <f t="shared" si="6"/>
        <v>0</v>
      </c>
      <c r="N23" s="60"/>
      <c r="O23" s="61">
        <f t="shared" si="17"/>
        <v>81</v>
      </c>
      <c r="P23" s="62">
        <f t="shared" si="18"/>
        <v>31421.22927023131</v>
      </c>
      <c r="Q23" s="62">
        <f t="shared" si="32"/>
        <v>169058.96597577666</v>
      </c>
      <c r="R23" s="62">
        <f t="shared" si="33"/>
        <v>5240.8279452490769</v>
      </c>
      <c r="S23" s="62">
        <f t="shared" si="8"/>
        <v>0</v>
      </c>
      <c r="T23" s="57">
        <f t="shared" si="19"/>
        <v>0</v>
      </c>
      <c r="U23" s="62">
        <f t="shared" si="34"/>
        <v>0</v>
      </c>
      <c r="V23" s="62">
        <f t="shared" si="20"/>
        <v>11969.374791084989</v>
      </c>
      <c r="W23" s="62">
        <f t="shared" si="21"/>
        <v>31421.22927023131</v>
      </c>
      <c r="X23" s="62">
        <f t="shared" si="35"/>
        <v>142878.56465079443</v>
      </c>
      <c r="Y23" s="62">
        <f t="shared" si="10"/>
        <v>31421.22927023131</v>
      </c>
      <c r="Z23" s="62">
        <f t="shared" si="11"/>
        <v>0</v>
      </c>
      <c r="AA23" s="62">
        <f t="shared" si="36"/>
        <v>125000</v>
      </c>
      <c r="AB23" s="60"/>
      <c r="AC23" s="64">
        <f t="shared" si="12"/>
        <v>81</v>
      </c>
      <c r="AD23" s="62">
        <f t="shared" si="13"/>
        <v>0</v>
      </c>
      <c r="AE23" s="62">
        <f t="shared" si="37"/>
        <v>0</v>
      </c>
      <c r="AF23" s="62">
        <f t="shared" si="14"/>
        <v>0</v>
      </c>
      <c r="AG23" s="62">
        <f t="shared" si="38"/>
        <v>0</v>
      </c>
      <c r="AH23" s="62">
        <f t="shared" si="15"/>
        <v>0</v>
      </c>
      <c r="AI23" s="62">
        <f t="shared" si="39"/>
        <v>0</v>
      </c>
      <c r="AJ23" s="60"/>
      <c r="AK23" s="62">
        <f t="shared" si="22"/>
        <v>323186.14958254882</v>
      </c>
      <c r="AL23" s="62">
        <f t="shared" si="23"/>
        <v>267878.56465079443</v>
      </c>
      <c r="AM23" s="60"/>
      <c r="AO23" s="62">
        <f t="shared" si="40"/>
        <v>0</v>
      </c>
      <c r="AP23" s="62">
        <f t="shared" si="41"/>
        <v>0</v>
      </c>
      <c r="AQ23" s="62">
        <f t="shared" si="41"/>
        <v>0</v>
      </c>
      <c r="AR23" s="60">
        <f t="shared" si="24"/>
        <v>0</v>
      </c>
      <c r="AZ23" s="89">
        <f t="shared" si="44"/>
        <v>71</v>
      </c>
      <c r="BA23" s="90">
        <v>5.28E-2</v>
      </c>
    </row>
    <row r="24" spans="3:53" s="55" customFormat="1" x14ac:dyDescent="0.3">
      <c r="C24" s="61">
        <f t="shared" si="26"/>
        <v>82</v>
      </c>
      <c r="D24" s="62">
        <f t="shared" si="27"/>
        <v>32081.075084906166</v>
      </c>
      <c r="E24" s="63">
        <f t="shared" si="28"/>
        <v>0</v>
      </c>
      <c r="F24" s="62">
        <f t="shared" si="29"/>
        <v>323186.14958254882</v>
      </c>
      <c r="G24" s="62">
        <f t="shared" si="30"/>
        <v>10018.770637059013</v>
      </c>
      <c r="H24" s="62">
        <f t="shared" si="2"/>
        <v>0</v>
      </c>
      <c r="I24" s="62">
        <f t="shared" si="16"/>
        <v>23851.137839192106</v>
      </c>
      <c r="J24" s="62">
        <f t="shared" si="3"/>
        <v>32081.075084906166</v>
      </c>
      <c r="K24" s="62">
        <f t="shared" si="4"/>
        <v>32081.075084906166</v>
      </c>
      <c r="L24" s="62">
        <f t="shared" si="31"/>
        <v>301123.84513470164</v>
      </c>
      <c r="M24" s="62">
        <f t="shared" si="6"/>
        <v>0</v>
      </c>
      <c r="N24" s="60"/>
      <c r="O24" s="61">
        <f t="shared" si="17"/>
        <v>82</v>
      </c>
      <c r="P24" s="62">
        <f t="shared" si="18"/>
        <v>32081.075084906166</v>
      </c>
      <c r="Q24" s="62">
        <f t="shared" si="32"/>
        <v>142878.56465079443</v>
      </c>
      <c r="R24" s="62">
        <f t="shared" si="33"/>
        <v>4429.2355041746277</v>
      </c>
      <c r="S24" s="62">
        <f t="shared" si="8"/>
        <v>0</v>
      </c>
      <c r="T24" s="57">
        <f t="shared" si="19"/>
        <v>0</v>
      </c>
      <c r="U24" s="62">
        <f t="shared" si="34"/>
        <v>0</v>
      </c>
      <c r="V24" s="62">
        <f t="shared" si="20"/>
        <v>10544.438071228629</v>
      </c>
      <c r="W24" s="62">
        <f t="shared" si="21"/>
        <v>32081.075084906166</v>
      </c>
      <c r="X24" s="62">
        <f t="shared" si="35"/>
        <v>115226.72507006291</v>
      </c>
      <c r="Y24" s="62">
        <f t="shared" si="10"/>
        <v>32081.075084906166</v>
      </c>
      <c r="Z24" s="62">
        <f t="shared" si="11"/>
        <v>0</v>
      </c>
      <c r="AA24" s="62">
        <f t="shared" si="36"/>
        <v>125000</v>
      </c>
      <c r="AB24" s="60"/>
      <c r="AC24" s="64">
        <f t="shared" si="12"/>
        <v>82</v>
      </c>
      <c r="AD24" s="62">
        <f t="shared" si="13"/>
        <v>0</v>
      </c>
      <c r="AE24" s="62">
        <f t="shared" si="37"/>
        <v>0</v>
      </c>
      <c r="AF24" s="62">
        <f t="shared" si="14"/>
        <v>0</v>
      </c>
      <c r="AG24" s="62">
        <f t="shared" si="38"/>
        <v>0</v>
      </c>
      <c r="AH24" s="62">
        <f t="shared" si="15"/>
        <v>0</v>
      </c>
      <c r="AI24" s="62">
        <f t="shared" si="39"/>
        <v>0</v>
      </c>
      <c r="AJ24" s="60"/>
      <c r="AK24" s="62">
        <f t="shared" si="22"/>
        <v>301123.84513470164</v>
      </c>
      <c r="AL24" s="62">
        <f t="shared" si="23"/>
        <v>240226.72507006291</v>
      </c>
      <c r="AM24" s="60"/>
      <c r="AO24" s="62">
        <f t="shared" si="40"/>
        <v>0</v>
      </c>
      <c r="AP24" s="62">
        <f t="shared" si="41"/>
        <v>0</v>
      </c>
      <c r="AQ24" s="62">
        <f t="shared" si="41"/>
        <v>0</v>
      </c>
      <c r="AR24" s="60">
        <f t="shared" si="24"/>
        <v>0</v>
      </c>
      <c r="AZ24" s="89">
        <f t="shared" si="44"/>
        <v>72</v>
      </c>
      <c r="BA24" s="90">
        <v>5.3999999999999999E-2</v>
      </c>
    </row>
    <row r="25" spans="3:53" s="55" customFormat="1" x14ac:dyDescent="0.3">
      <c r="C25" s="61">
        <f t="shared" si="26"/>
        <v>83</v>
      </c>
      <c r="D25" s="62">
        <f t="shared" si="27"/>
        <v>32754.777661689193</v>
      </c>
      <c r="E25" s="63">
        <f t="shared" si="28"/>
        <v>0</v>
      </c>
      <c r="F25" s="62">
        <f t="shared" si="29"/>
        <v>301123.84513470164</v>
      </c>
      <c r="G25" s="62">
        <f t="shared" si="30"/>
        <v>9334.8391991757508</v>
      </c>
      <c r="H25" s="62">
        <f t="shared" si="2"/>
        <v>0</v>
      </c>
      <c r="I25" s="62">
        <f t="shared" si="16"/>
        <v>23216.648459885499</v>
      </c>
      <c r="J25" s="62">
        <f t="shared" si="3"/>
        <v>32754.777661689193</v>
      </c>
      <c r="K25" s="62">
        <f t="shared" si="4"/>
        <v>32754.777661689193</v>
      </c>
      <c r="L25" s="62">
        <f t="shared" si="31"/>
        <v>277703.9066721882</v>
      </c>
      <c r="M25" s="62">
        <f t="shared" si="6"/>
        <v>0</v>
      </c>
      <c r="N25" s="60"/>
      <c r="O25" s="61">
        <f t="shared" si="17"/>
        <v>83</v>
      </c>
      <c r="P25" s="62">
        <f t="shared" si="18"/>
        <v>32754.777661689193</v>
      </c>
      <c r="Q25" s="62">
        <f t="shared" si="32"/>
        <v>115226.72507006291</v>
      </c>
      <c r="R25" s="62">
        <f t="shared" si="33"/>
        <v>3572.0284771719503</v>
      </c>
      <c r="S25" s="62">
        <f t="shared" si="8"/>
        <v>0</v>
      </c>
      <c r="T25" s="57">
        <f t="shared" si="19"/>
        <v>0</v>
      </c>
      <c r="U25" s="62">
        <f t="shared" si="34"/>
        <v>0</v>
      </c>
      <c r="V25" s="62">
        <f t="shared" si="20"/>
        <v>8883.9805029018498</v>
      </c>
      <c r="W25" s="62">
        <f t="shared" si="21"/>
        <v>32754.777661689193</v>
      </c>
      <c r="X25" s="62">
        <f t="shared" si="35"/>
        <v>86043.97588554566</v>
      </c>
      <c r="Y25" s="62">
        <f t="shared" si="10"/>
        <v>32754.777661689193</v>
      </c>
      <c r="Z25" s="62">
        <f t="shared" si="11"/>
        <v>0</v>
      </c>
      <c r="AA25" s="62">
        <f t="shared" si="36"/>
        <v>125000</v>
      </c>
      <c r="AB25" s="60"/>
      <c r="AC25" s="64">
        <f t="shared" si="12"/>
        <v>83</v>
      </c>
      <c r="AD25" s="62">
        <f t="shared" si="13"/>
        <v>0</v>
      </c>
      <c r="AE25" s="62">
        <f t="shared" si="37"/>
        <v>0</v>
      </c>
      <c r="AF25" s="62">
        <f t="shared" si="14"/>
        <v>0</v>
      </c>
      <c r="AG25" s="62">
        <f t="shared" si="38"/>
        <v>0</v>
      </c>
      <c r="AH25" s="62">
        <f t="shared" si="15"/>
        <v>0</v>
      </c>
      <c r="AI25" s="62">
        <f t="shared" si="39"/>
        <v>0</v>
      </c>
      <c r="AJ25" s="60"/>
      <c r="AK25" s="62">
        <f t="shared" si="22"/>
        <v>277703.9066721882</v>
      </c>
      <c r="AL25" s="62">
        <f t="shared" si="23"/>
        <v>211043.97588554566</v>
      </c>
      <c r="AM25" s="60"/>
      <c r="AO25" s="62">
        <f t="shared" si="40"/>
        <v>0</v>
      </c>
      <c r="AP25" s="62">
        <f t="shared" si="41"/>
        <v>0</v>
      </c>
      <c r="AQ25" s="62">
        <f t="shared" si="41"/>
        <v>0</v>
      </c>
      <c r="AR25" s="60">
        <f t="shared" si="24"/>
        <v>0</v>
      </c>
      <c r="AZ25" s="89">
        <f t="shared" si="44"/>
        <v>73</v>
      </c>
      <c r="BA25" s="90">
        <v>5.5300000000000002E-2</v>
      </c>
    </row>
    <row r="26" spans="3:53" s="55" customFormat="1" x14ac:dyDescent="0.3">
      <c r="C26" s="61">
        <f t="shared" si="26"/>
        <v>84</v>
      </c>
      <c r="D26" s="62">
        <f t="shared" si="27"/>
        <v>33442.627992584661</v>
      </c>
      <c r="E26" s="63">
        <f t="shared" si="28"/>
        <v>0</v>
      </c>
      <c r="F26" s="62">
        <f t="shared" si="29"/>
        <v>277703.9066721882</v>
      </c>
      <c r="G26" s="62">
        <f t="shared" si="30"/>
        <v>8608.8211068378332</v>
      </c>
      <c r="H26" s="62">
        <f t="shared" si="2"/>
        <v>0</v>
      </c>
      <c r="I26" s="62">
        <f t="shared" si="16"/>
        <v>22438.475659112806</v>
      </c>
      <c r="J26" s="62">
        <f t="shared" si="3"/>
        <v>33442.627992584661</v>
      </c>
      <c r="K26" s="62">
        <f t="shared" si="4"/>
        <v>33442.627992584661</v>
      </c>
      <c r="L26" s="62">
        <f t="shared" si="31"/>
        <v>252870.09978644137</v>
      </c>
      <c r="M26" s="62">
        <f t="shared" si="6"/>
        <v>0</v>
      </c>
      <c r="N26" s="60"/>
      <c r="O26" s="61">
        <f t="shared" si="17"/>
        <v>84</v>
      </c>
      <c r="P26" s="62">
        <f t="shared" si="18"/>
        <v>33442.627992584661</v>
      </c>
      <c r="Q26" s="62">
        <f t="shared" si="32"/>
        <v>86043.97588554566</v>
      </c>
      <c r="R26" s="62">
        <f t="shared" si="33"/>
        <v>2667.3632524519153</v>
      </c>
      <c r="S26" s="62">
        <f t="shared" si="8"/>
        <v>0</v>
      </c>
      <c r="T26" s="57">
        <f t="shared" si="19"/>
        <v>0</v>
      </c>
      <c r="U26" s="62">
        <f t="shared" si="34"/>
        <v>0</v>
      </c>
      <c r="V26" s="62">
        <f t="shared" si="20"/>
        <v>6952.3532515520892</v>
      </c>
      <c r="W26" s="62">
        <f t="shared" si="21"/>
        <v>33442.627992584661</v>
      </c>
      <c r="X26" s="62">
        <f t="shared" si="35"/>
        <v>55268.711145412919</v>
      </c>
      <c r="Y26" s="62">
        <f t="shared" si="10"/>
        <v>33442.627992584661</v>
      </c>
      <c r="Z26" s="62">
        <f t="shared" si="11"/>
        <v>0</v>
      </c>
      <c r="AA26" s="62">
        <f t="shared" si="36"/>
        <v>125000</v>
      </c>
      <c r="AB26" s="60"/>
      <c r="AC26" s="64">
        <f t="shared" si="12"/>
        <v>84</v>
      </c>
      <c r="AD26" s="62">
        <f t="shared" si="13"/>
        <v>0</v>
      </c>
      <c r="AE26" s="62">
        <f t="shared" si="37"/>
        <v>0</v>
      </c>
      <c r="AF26" s="62">
        <f t="shared" si="14"/>
        <v>0</v>
      </c>
      <c r="AG26" s="62">
        <f t="shared" si="38"/>
        <v>0</v>
      </c>
      <c r="AH26" s="62">
        <f t="shared" si="15"/>
        <v>0</v>
      </c>
      <c r="AI26" s="62">
        <f t="shared" si="39"/>
        <v>0</v>
      </c>
      <c r="AJ26" s="60"/>
      <c r="AK26" s="62">
        <f t="shared" si="22"/>
        <v>252870.09978644137</v>
      </c>
      <c r="AL26" s="62">
        <f t="shared" si="23"/>
        <v>180268.71114541293</v>
      </c>
      <c r="AM26" s="60"/>
      <c r="AO26" s="62">
        <f t="shared" si="40"/>
        <v>0</v>
      </c>
      <c r="AP26" s="62">
        <f t="shared" si="41"/>
        <v>0</v>
      </c>
      <c r="AQ26" s="62">
        <f t="shared" si="41"/>
        <v>0</v>
      </c>
      <c r="AR26" s="60">
        <f t="shared" si="24"/>
        <v>0</v>
      </c>
      <c r="AZ26" s="89">
        <f t="shared" si="44"/>
        <v>74</v>
      </c>
      <c r="BA26" s="90">
        <v>5.67E-2</v>
      </c>
    </row>
    <row r="27" spans="3:53" s="55" customFormat="1" x14ac:dyDescent="0.3">
      <c r="C27" s="61">
        <f t="shared" si="26"/>
        <v>85</v>
      </c>
      <c r="D27" s="62">
        <f t="shared" si="27"/>
        <v>34144.923180428937</v>
      </c>
      <c r="E27" s="63">
        <f t="shared" si="28"/>
        <v>0</v>
      </c>
      <c r="F27" s="62">
        <f t="shared" si="29"/>
        <v>252870.09978644137</v>
      </c>
      <c r="G27" s="62">
        <f t="shared" si="30"/>
        <v>7838.9730933796827</v>
      </c>
      <c r="H27" s="62">
        <f t="shared" si="2"/>
        <v>0</v>
      </c>
      <c r="I27" s="62">
        <f t="shared" si="16"/>
        <v>21519.245491826157</v>
      </c>
      <c r="J27" s="62">
        <f t="shared" si="3"/>
        <v>34144.923180428937</v>
      </c>
      <c r="K27" s="62">
        <f t="shared" si="4"/>
        <v>34144.923180428937</v>
      </c>
      <c r="L27" s="62">
        <f t="shared" si="31"/>
        <v>226564.14969939212</v>
      </c>
      <c r="M27" s="62">
        <f t="shared" si="6"/>
        <v>0</v>
      </c>
      <c r="N27" s="60"/>
      <c r="O27" s="61">
        <f t="shared" si="17"/>
        <v>85</v>
      </c>
      <c r="P27" s="62">
        <f t="shared" si="18"/>
        <v>34144.923180428937</v>
      </c>
      <c r="Q27" s="62">
        <f t="shared" si="32"/>
        <v>55268.711145412919</v>
      </c>
      <c r="R27" s="62">
        <f t="shared" si="33"/>
        <v>1713.3300455078004</v>
      </c>
      <c r="S27" s="62">
        <f t="shared" si="8"/>
        <v>0</v>
      </c>
      <c r="T27" s="57">
        <f t="shared" si="19"/>
        <v>0</v>
      </c>
      <c r="U27" s="62">
        <f t="shared" si="34"/>
        <v>37500</v>
      </c>
      <c r="V27" s="62">
        <f t="shared" si="20"/>
        <v>4703.3673184746394</v>
      </c>
      <c r="W27" s="62">
        <f t="shared" si="21"/>
        <v>4703.3673184746394</v>
      </c>
      <c r="X27" s="62">
        <f t="shared" si="35"/>
        <v>52278.673872446081</v>
      </c>
      <c r="Y27" s="62">
        <f t="shared" si="10"/>
        <v>42203.367318474637</v>
      </c>
      <c r="Z27" s="62">
        <f t="shared" si="11"/>
        <v>0</v>
      </c>
      <c r="AA27" s="62">
        <f t="shared" si="36"/>
        <v>87500</v>
      </c>
      <c r="AB27" s="60"/>
      <c r="AC27" s="64">
        <f t="shared" si="12"/>
        <v>85</v>
      </c>
      <c r="AD27" s="62">
        <f t="shared" si="13"/>
        <v>-2417.5332414137097</v>
      </c>
      <c r="AE27" s="62">
        <f t="shared" si="37"/>
        <v>-2417.5332414137097</v>
      </c>
      <c r="AF27" s="62">
        <f t="shared" si="14"/>
        <v>0</v>
      </c>
      <c r="AG27" s="62">
        <f t="shared" si="38"/>
        <v>0</v>
      </c>
      <c r="AH27" s="62">
        <f t="shared" si="15"/>
        <v>-2417.5332414137097</v>
      </c>
      <c r="AI27" s="62">
        <f t="shared" si="39"/>
        <v>-2417.5332414137097</v>
      </c>
      <c r="AJ27" s="60"/>
      <c r="AK27" s="62">
        <f t="shared" si="22"/>
        <v>226564.14969939212</v>
      </c>
      <c r="AL27" s="62">
        <f t="shared" si="23"/>
        <v>139778.67387244609</v>
      </c>
      <c r="AM27" s="60"/>
      <c r="AO27" s="62">
        <f t="shared" si="40"/>
        <v>0</v>
      </c>
      <c r="AP27" s="62">
        <f t="shared" si="41"/>
        <v>0</v>
      </c>
      <c r="AQ27" s="62">
        <f t="shared" si="41"/>
        <v>0</v>
      </c>
      <c r="AR27" s="60">
        <f t="shared" si="24"/>
        <v>0</v>
      </c>
      <c r="AZ27" s="89">
        <f t="shared" si="44"/>
        <v>75</v>
      </c>
      <c r="BA27" s="90">
        <v>5.8200000000000002E-2</v>
      </c>
    </row>
    <row r="28" spans="3:53" s="55" customFormat="1" x14ac:dyDescent="0.3">
      <c r="C28" s="61">
        <f t="shared" si="26"/>
        <v>86</v>
      </c>
      <c r="D28" s="62">
        <f t="shared" si="27"/>
        <v>34861.96656721794</v>
      </c>
      <c r="E28" s="63">
        <f t="shared" si="28"/>
        <v>0</v>
      </c>
      <c r="F28" s="62">
        <f t="shared" si="29"/>
        <v>226564.14969939212</v>
      </c>
      <c r="G28" s="62">
        <f t="shared" si="30"/>
        <v>7023.4886406811556</v>
      </c>
      <c r="H28" s="62">
        <f t="shared" si="2"/>
        <v>0</v>
      </c>
      <c r="I28" s="62">
        <f t="shared" si="16"/>
        <v>20368.117057975349</v>
      </c>
      <c r="J28" s="62">
        <f t="shared" si="3"/>
        <v>34861.96656721794</v>
      </c>
      <c r="K28" s="62">
        <f t="shared" si="4"/>
        <v>34861.96656721794</v>
      </c>
      <c r="L28" s="62">
        <f t="shared" si="31"/>
        <v>198725.67177285533</v>
      </c>
      <c r="M28" s="62">
        <f t="shared" si="6"/>
        <v>0</v>
      </c>
      <c r="N28" s="60"/>
      <c r="O28" s="61">
        <f t="shared" si="17"/>
        <v>86</v>
      </c>
      <c r="P28" s="62">
        <f t="shared" si="18"/>
        <v>34861.96656721794</v>
      </c>
      <c r="Q28" s="62">
        <f t="shared" si="32"/>
        <v>52278.673872446081</v>
      </c>
      <c r="R28" s="62">
        <f t="shared" si="33"/>
        <v>1620.6388900458285</v>
      </c>
      <c r="S28" s="62">
        <f t="shared" si="8"/>
        <v>0</v>
      </c>
      <c r="T28" s="57">
        <f t="shared" si="19"/>
        <v>0</v>
      </c>
      <c r="U28" s="62">
        <f t="shared" si="34"/>
        <v>37500</v>
      </c>
      <c r="V28" s="62">
        <f t="shared" si="20"/>
        <v>4699.8527811329022</v>
      </c>
      <c r="W28" s="62">
        <f t="shared" si="21"/>
        <v>4699.8527811329022</v>
      </c>
      <c r="X28" s="62">
        <f t="shared" si="35"/>
        <v>49199.459981359003</v>
      </c>
      <c r="Y28" s="62">
        <f t="shared" si="10"/>
        <v>42199.852781132904</v>
      </c>
      <c r="Z28" s="62">
        <f t="shared" si="11"/>
        <v>0</v>
      </c>
      <c r="AA28" s="62">
        <f t="shared" si="36"/>
        <v>50000</v>
      </c>
      <c r="AB28" s="60"/>
      <c r="AC28" s="64">
        <f t="shared" si="12"/>
        <v>86</v>
      </c>
      <c r="AD28" s="62">
        <f t="shared" si="13"/>
        <v>-2201.3658641744892</v>
      </c>
      <c r="AE28" s="62">
        <f t="shared" si="37"/>
        <v>-4618.8991055881988</v>
      </c>
      <c r="AF28" s="62">
        <f t="shared" si="14"/>
        <v>0</v>
      </c>
      <c r="AG28" s="62">
        <f t="shared" si="38"/>
        <v>0</v>
      </c>
      <c r="AH28" s="62">
        <f t="shared" si="15"/>
        <v>-2201.3658641744892</v>
      </c>
      <c r="AI28" s="62">
        <f t="shared" si="39"/>
        <v>-4618.8991055881988</v>
      </c>
      <c r="AJ28" s="60"/>
      <c r="AK28" s="62">
        <f t="shared" si="22"/>
        <v>198725.67177285533</v>
      </c>
      <c r="AL28" s="62">
        <f t="shared" si="23"/>
        <v>99199.459981359003</v>
      </c>
      <c r="AM28" s="60"/>
      <c r="AO28" s="62">
        <f t="shared" si="40"/>
        <v>0</v>
      </c>
      <c r="AP28" s="62">
        <f t="shared" si="41"/>
        <v>0</v>
      </c>
      <c r="AQ28" s="62">
        <f t="shared" si="41"/>
        <v>0</v>
      </c>
      <c r="AR28" s="60">
        <f t="shared" si="24"/>
        <v>0</v>
      </c>
      <c r="AZ28" s="89">
        <f t="shared" si="44"/>
        <v>76</v>
      </c>
      <c r="BA28" s="90">
        <v>5.9799999999999999E-2</v>
      </c>
    </row>
    <row r="29" spans="3:53" s="55" customFormat="1" x14ac:dyDescent="0.3">
      <c r="C29" s="61">
        <f t="shared" si="26"/>
        <v>87</v>
      </c>
      <c r="D29" s="62">
        <f t="shared" si="27"/>
        <v>35594.067865129517</v>
      </c>
      <c r="E29" s="63">
        <f t="shared" si="28"/>
        <v>0</v>
      </c>
      <c r="F29" s="62">
        <f t="shared" si="29"/>
        <v>198725.67177285533</v>
      </c>
      <c r="G29" s="62">
        <f t="shared" si="30"/>
        <v>6160.4958249585152</v>
      </c>
      <c r="H29" s="62">
        <f t="shared" si="2"/>
        <v>0</v>
      </c>
      <c r="I29" s="62">
        <f t="shared" si="16"/>
        <v>18978.301654307685</v>
      </c>
      <c r="J29" s="62">
        <f t="shared" si="3"/>
        <v>35594.067865129517</v>
      </c>
      <c r="K29" s="62">
        <f t="shared" si="4"/>
        <v>35594.067865129517</v>
      </c>
      <c r="L29" s="62">
        <f t="shared" si="31"/>
        <v>169292.09973268432</v>
      </c>
      <c r="M29" s="62">
        <f t="shared" si="6"/>
        <v>0</v>
      </c>
      <c r="N29" s="60"/>
      <c r="O29" s="61">
        <f t="shared" si="17"/>
        <v>87</v>
      </c>
      <c r="P29" s="62">
        <f t="shared" si="18"/>
        <v>35594.067865129517</v>
      </c>
      <c r="Q29" s="62">
        <f t="shared" si="32"/>
        <v>49199.459981359003</v>
      </c>
      <c r="R29" s="62">
        <f t="shared" si="33"/>
        <v>1525.1832594221291</v>
      </c>
      <c r="S29" s="62">
        <f t="shared" si="8"/>
        <v>0</v>
      </c>
      <c r="T29" s="57">
        <f t="shared" si="19"/>
        <v>0</v>
      </c>
      <c r="U29" s="62">
        <f t="shared" si="34"/>
        <v>37500</v>
      </c>
      <c r="V29" s="62">
        <f t="shared" si="20"/>
        <v>4698.5484282197849</v>
      </c>
      <c r="W29" s="62">
        <f t="shared" si="21"/>
        <v>4698.5484282197849</v>
      </c>
      <c r="X29" s="62">
        <f t="shared" si="35"/>
        <v>46026.094812561343</v>
      </c>
      <c r="Y29" s="62">
        <f t="shared" si="10"/>
        <v>42198.548428219787</v>
      </c>
      <c r="Z29" s="62">
        <f t="shared" si="11"/>
        <v>0</v>
      </c>
      <c r="AA29" s="62">
        <f t="shared" si="36"/>
        <v>12500</v>
      </c>
      <c r="AB29" s="60"/>
      <c r="AC29" s="64">
        <f t="shared" si="12"/>
        <v>87</v>
      </c>
      <c r="AD29" s="62">
        <f t="shared" si="13"/>
        <v>-1981.344168927081</v>
      </c>
      <c r="AE29" s="62">
        <f t="shared" si="37"/>
        <v>-6600.2432745152801</v>
      </c>
      <c r="AF29" s="62">
        <f t="shared" si="14"/>
        <v>0</v>
      </c>
      <c r="AG29" s="62">
        <f t="shared" si="38"/>
        <v>0</v>
      </c>
      <c r="AH29" s="62">
        <f t="shared" si="15"/>
        <v>-1981.344168927081</v>
      </c>
      <c r="AI29" s="62">
        <f t="shared" si="39"/>
        <v>-6600.2432745152801</v>
      </c>
      <c r="AJ29" s="60"/>
      <c r="AK29" s="62">
        <f t="shared" si="22"/>
        <v>169292.09973268432</v>
      </c>
      <c r="AL29" s="62">
        <f t="shared" si="23"/>
        <v>58526.094812561343</v>
      </c>
      <c r="AM29" s="60"/>
      <c r="AO29" s="62">
        <f t="shared" si="40"/>
        <v>0</v>
      </c>
      <c r="AP29" s="62">
        <f t="shared" si="41"/>
        <v>0</v>
      </c>
      <c r="AQ29" s="62">
        <f t="shared" si="41"/>
        <v>0</v>
      </c>
      <c r="AR29" s="60">
        <f t="shared" si="24"/>
        <v>0</v>
      </c>
      <c r="AZ29" s="89">
        <f t="shared" si="44"/>
        <v>77</v>
      </c>
      <c r="BA29" s="90">
        <v>6.1699999999999998E-2</v>
      </c>
    </row>
    <row r="30" spans="3:53" s="55" customFormat="1" x14ac:dyDescent="0.3">
      <c r="C30" s="61">
        <f t="shared" si="26"/>
        <v>88</v>
      </c>
      <c r="D30" s="62">
        <f t="shared" si="27"/>
        <v>36341.543290297232</v>
      </c>
      <c r="E30" s="63">
        <f t="shared" si="28"/>
        <v>0</v>
      </c>
      <c r="F30" s="62">
        <f t="shared" si="29"/>
        <v>169292.09973268432</v>
      </c>
      <c r="G30" s="62">
        <f t="shared" si="30"/>
        <v>5248.0550917132141</v>
      </c>
      <c r="H30" s="62">
        <f t="shared" si="2"/>
        <v>0</v>
      </c>
      <c r="I30" s="62">
        <f t="shared" si="16"/>
        <v>17284.723382707067</v>
      </c>
      <c r="J30" s="62">
        <f t="shared" si="3"/>
        <v>36341.543290297232</v>
      </c>
      <c r="K30" s="62">
        <f t="shared" si="4"/>
        <v>36341.543290297232</v>
      </c>
      <c r="L30" s="62">
        <f t="shared" si="31"/>
        <v>138198.61153410029</v>
      </c>
      <c r="M30" s="62">
        <f t="shared" si="6"/>
        <v>0</v>
      </c>
      <c r="N30" s="60"/>
      <c r="O30" s="61">
        <f t="shared" si="17"/>
        <v>88</v>
      </c>
      <c r="P30" s="62">
        <f t="shared" si="18"/>
        <v>36341.543290297232</v>
      </c>
      <c r="Q30" s="62">
        <f t="shared" si="32"/>
        <v>46026.094812561343</v>
      </c>
      <c r="R30" s="62">
        <f t="shared" si="33"/>
        <v>1426.8089391894016</v>
      </c>
      <c r="S30" s="62">
        <f t="shared" si="8"/>
        <v>0</v>
      </c>
      <c r="T30" s="57">
        <f t="shared" si="19"/>
        <v>0</v>
      </c>
      <c r="U30" s="62">
        <f t="shared" si="34"/>
        <v>37500</v>
      </c>
      <c r="V30" s="62">
        <f t="shared" si="20"/>
        <v>4699.2642803625131</v>
      </c>
      <c r="W30" s="62">
        <f t="shared" si="21"/>
        <v>4699.2642803625131</v>
      </c>
      <c r="X30" s="62">
        <f t="shared" si="35"/>
        <v>42753.639471388233</v>
      </c>
      <c r="Y30" s="62">
        <f t="shared" si="10"/>
        <v>42199.264280362513</v>
      </c>
      <c r="Z30" s="62">
        <f t="shared" si="11"/>
        <v>0</v>
      </c>
      <c r="AA30" s="62">
        <f t="shared" si="36"/>
        <v>0</v>
      </c>
      <c r="AB30" s="60"/>
      <c r="AC30" s="64">
        <f t="shared" si="12"/>
        <v>88</v>
      </c>
      <c r="AD30" s="62">
        <f t="shared" si="13"/>
        <v>-1757.3162970195845</v>
      </c>
      <c r="AE30" s="62">
        <f t="shared" si="37"/>
        <v>-8357.5595715348645</v>
      </c>
      <c r="AF30" s="62">
        <f t="shared" si="14"/>
        <v>0</v>
      </c>
      <c r="AG30" s="62">
        <f t="shared" si="38"/>
        <v>0</v>
      </c>
      <c r="AH30" s="62">
        <f t="shared" si="15"/>
        <v>-1757.3162970195845</v>
      </c>
      <c r="AI30" s="62">
        <f t="shared" si="39"/>
        <v>-8357.5595715348645</v>
      </c>
      <c r="AJ30" s="60"/>
      <c r="AK30" s="62">
        <f t="shared" si="22"/>
        <v>138198.61153410029</v>
      </c>
      <c r="AL30" s="62">
        <f t="shared" si="23"/>
        <v>42753.639471388233</v>
      </c>
      <c r="AM30" s="60"/>
      <c r="AO30" s="62">
        <f t="shared" si="40"/>
        <v>0</v>
      </c>
      <c r="AP30" s="62">
        <f t="shared" si="41"/>
        <v>0</v>
      </c>
      <c r="AQ30" s="62">
        <f t="shared" si="41"/>
        <v>0</v>
      </c>
      <c r="AR30" s="60">
        <f t="shared" si="24"/>
        <v>0</v>
      </c>
      <c r="AZ30" s="89">
        <f t="shared" si="44"/>
        <v>78</v>
      </c>
      <c r="BA30" s="90">
        <v>6.3600000000000004E-2</v>
      </c>
    </row>
    <row r="31" spans="3:53" s="55" customFormat="1" x14ac:dyDescent="0.3">
      <c r="C31" s="61">
        <f t="shared" si="26"/>
        <v>89</v>
      </c>
      <c r="D31" s="62">
        <f t="shared" si="27"/>
        <v>37104.71569939347</v>
      </c>
      <c r="E31" s="63">
        <f t="shared" si="28"/>
        <v>0</v>
      </c>
      <c r="F31" s="62">
        <f t="shared" si="29"/>
        <v>138198.61153410029</v>
      </c>
      <c r="G31" s="62">
        <f t="shared" si="30"/>
        <v>4284.1569575571093</v>
      </c>
      <c r="H31" s="62">
        <f t="shared" si="2"/>
        <v>0</v>
      </c>
      <c r="I31" s="62">
        <f t="shared" si="16"/>
        <v>15188.027407597621</v>
      </c>
      <c r="J31" s="62">
        <f t="shared" si="3"/>
        <v>37104.71569939347</v>
      </c>
      <c r="K31" s="62">
        <f t="shared" si="4"/>
        <v>37104.71569939347</v>
      </c>
      <c r="L31" s="62">
        <f t="shared" si="31"/>
        <v>105378.05279226392</v>
      </c>
      <c r="M31" s="62">
        <f t="shared" si="6"/>
        <v>0</v>
      </c>
      <c r="N31" s="60"/>
      <c r="O31" s="61">
        <f t="shared" si="17"/>
        <v>89</v>
      </c>
      <c r="P31" s="62">
        <f t="shared" si="18"/>
        <v>37104.71569939347</v>
      </c>
      <c r="Q31" s="62">
        <f t="shared" si="32"/>
        <v>42753.639471388233</v>
      </c>
      <c r="R31" s="62">
        <f t="shared" si="33"/>
        <v>1325.3628236130353</v>
      </c>
      <c r="S31" s="62">
        <f t="shared" si="8"/>
        <v>0</v>
      </c>
      <c r="T31" s="57">
        <f t="shared" si="19"/>
        <v>0</v>
      </c>
      <c r="U31" s="62">
        <f t="shared" si="34"/>
        <v>37500</v>
      </c>
      <c r="V31" s="62">
        <f t="shared" si="20"/>
        <v>4698.624977905567</v>
      </c>
      <c r="W31" s="62">
        <f t="shared" si="21"/>
        <v>4698.624977905567</v>
      </c>
      <c r="X31" s="62">
        <f t="shared" si="35"/>
        <v>39380.377317095699</v>
      </c>
      <c r="Y31" s="62">
        <f t="shared" si="10"/>
        <v>42198.624977905565</v>
      </c>
      <c r="Z31" s="62">
        <f t="shared" si="11"/>
        <v>0</v>
      </c>
      <c r="AA31" s="62">
        <f t="shared" si="36"/>
        <v>0</v>
      </c>
      <c r="AB31" s="60"/>
      <c r="AC31" s="64">
        <f t="shared" si="12"/>
        <v>89</v>
      </c>
      <c r="AD31" s="62">
        <f t="shared" si="13"/>
        <v>-1528.1727835536287</v>
      </c>
      <c r="AE31" s="62">
        <f t="shared" si="37"/>
        <v>-9885.7323550884939</v>
      </c>
      <c r="AF31" s="62">
        <f t="shared" si="14"/>
        <v>0</v>
      </c>
      <c r="AG31" s="62">
        <f t="shared" si="38"/>
        <v>0</v>
      </c>
      <c r="AH31" s="62">
        <f t="shared" si="15"/>
        <v>-1528.1727835536287</v>
      </c>
      <c r="AI31" s="62">
        <f t="shared" si="39"/>
        <v>-9885.7323550884939</v>
      </c>
      <c r="AJ31" s="60"/>
      <c r="AK31" s="62">
        <f t="shared" si="22"/>
        <v>105378.05279226392</v>
      </c>
      <c r="AL31" s="62">
        <f t="shared" si="23"/>
        <v>39380.377317095699</v>
      </c>
      <c r="AM31" s="60"/>
      <c r="AO31" s="62">
        <f t="shared" si="40"/>
        <v>0</v>
      </c>
      <c r="AP31" s="62">
        <f t="shared" si="41"/>
        <v>0</v>
      </c>
      <c r="AQ31" s="62">
        <f t="shared" si="41"/>
        <v>0</v>
      </c>
      <c r="AR31" s="60">
        <f t="shared" si="24"/>
        <v>0</v>
      </c>
      <c r="AZ31" s="89">
        <f t="shared" si="44"/>
        <v>79</v>
      </c>
      <c r="BA31" s="90">
        <v>6.5799999999999997E-2</v>
      </c>
    </row>
    <row r="32" spans="3:53" s="55" customFormat="1" x14ac:dyDescent="0.3">
      <c r="C32" s="61">
        <f t="shared" si="26"/>
        <v>90</v>
      </c>
      <c r="D32" s="62">
        <f t="shared" si="27"/>
        <v>37883.91472908073</v>
      </c>
      <c r="E32" s="63">
        <f t="shared" si="28"/>
        <v>0</v>
      </c>
      <c r="F32" s="62">
        <f t="shared" si="29"/>
        <v>105378.05279226392</v>
      </c>
      <c r="G32" s="62">
        <f t="shared" si="30"/>
        <v>3266.7196365601812</v>
      </c>
      <c r="H32" s="62">
        <f t="shared" si="2"/>
        <v>0</v>
      </c>
      <c r="I32" s="62">
        <f t="shared" si="16"/>
        <v>12561.063892837859</v>
      </c>
      <c r="J32" s="62">
        <f t="shared" si="3"/>
        <v>37883.91472908073</v>
      </c>
      <c r="K32" s="62">
        <f t="shared" si="4"/>
        <v>37883.91472908073</v>
      </c>
      <c r="L32" s="62">
        <f t="shared" si="31"/>
        <v>70760.85769974337</v>
      </c>
      <c r="M32" s="62">
        <f t="shared" si="6"/>
        <v>0</v>
      </c>
      <c r="N32" s="60"/>
      <c r="O32" s="61">
        <f t="shared" si="17"/>
        <v>90</v>
      </c>
      <c r="P32" s="62">
        <f t="shared" si="18"/>
        <v>37883.91472908073</v>
      </c>
      <c r="Q32" s="62">
        <f t="shared" si="32"/>
        <v>39380.377317095699</v>
      </c>
      <c r="R32" s="62">
        <f t="shared" si="33"/>
        <v>1220.7916968299667</v>
      </c>
      <c r="S32" s="62">
        <f t="shared" si="8"/>
        <v>0</v>
      </c>
      <c r="T32" s="57">
        <f t="shared" si="19"/>
        <v>0</v>
      </c>
      <c r="U32" s="62">
        <f t="shared" si="34"/>
        <v>37500</v>
      </c>
      <c r="V32" s="62">
        <f t="shared" si="20"/>
        <v>4694.1409761978075</v>
      </c>
      <c r="W32" s="62">
        <f t="shared" si="21"/>
        <v>4694.1409761978075</v>
      </c>
      <c r="X32" s="62">
        <f t="shared" si="35"/>
        <v>35907.028037727861</v>
      </c>
      <c r="Y32" s="62">
        <f t="shared" si="10"/>
        <v>42194.140976197807</v>
      </c>
      <c r="Z32" s="62">
        <f t="shared" si="11"/>
        <v>0</v>
      </c>
      <c r="AA32" s="62">
        <f t="shared" si="36"/>
        <v>0</v>
      </c>
      <c r="AB32" s="60"/>
      <c r="AC32" s="64">
        <f t="shared" si="12"/>
        <v>90</v>
      </c>
      <c r="AD32" s="62">
        <f t="shared" si="13"/>
        <v>-1293.0678741351228</v>
      </c>
      <c r="AE32" s="62">
        <f t="shared" si="37"/>
        <v>-11178.800229223616</v>
      </c>
      <c r="AF32" s="62">
        <f t="shared" si="14"/>
        <v>0</v>
      </c>
      <c r="AG32" s="62">
        <f t="shared" si="38"/>
        <v>0</v>
      </c>
      <c r="AH32" s="62">
        <f t="shared" si="15"/>
        <v>-1293.0678741351228</v>
      </c>
      <c r="AI32" s="62">
        <f t="shared" si="39"/>
        <v>-11178.800229223616</v>
      </c>
      <c r="AJ32" s="60"/>
      <c r="AK32" s="62">
        <f t="shared" si="22"/>
        <v>70760.85769974337</v>
      </c>
      <c r="AL32" s="62">
        <f t="shared" si="23"/>
        <v>35907.028037727861</v>
      </c>
      <c r="AM32" s="60"/>
      <c r="AO32" s="62">
        <f t="shared" si="40"/>
        <v>0</v>
      </c>
      <c r="AP32" s="62">
        <f t="shared" si="41"/>
        <v>0</v>
      </c>
      <c r="AQ32" s="62">
        <f t="shared" si="41"/>
        <v>0</v>
      </c>
      <c r="AR32" s="60">
        <f t="shared" si="24"/>
        <v>0</v>
      </c>
      <c r="AZ32" s="89">
        <f t="shared" si="44"/>
        <v>80</v>
      </c>
      <c r="BA32" s="90">
        <v>6.8199999999999997E-2</v>
      </c>
    </row>
    <row r="33" spans="3:53" s="55" customFormat="1" x14ac:dyDescent="0.3">
      <c r="C33" s="61">
        <f t="shared" si="26"/>
        <v>91</v>
      </c>
      <c r="D33" s="62">
        <f t="shared" si="27"/>
        <v>38679.476938391424</v>
      </c>
      <c r="E33" s="63">
        <f t="shared" si="28"/>
        <v>0</v>
      </c>
      <c r="F33" s="62">
        <f t="shared" si="29"/>
        <v>70760.85769974337</v>
      </c>
      <c r="G33" s="62">
        <f t="shared" si="30"/>
        <v>2193.5865886920446</v>
      </c>
      <c r="H33" s="62">
        <f t="shared" si="2"/>
        <v>0</v>
      </c>
      <c r="I33" s="62">
        <f t="shared" si="16"/>
        <v>9241.368015586484</v>
      </c>
      <c r="J33" s="62">
        <f t="shared" si="3"/>
        <v>38679.476938391424</v>
      </c>
      <c r="K33" s="62">
        <f t="shared" si="4"/>
        <v>38679.476938391424</v>
      </c>
      <c r="L33" s="62">
        <f t="shared" si="31"/>
        <v>34274.967350043997</v>
      </c>
      <c r="M33" s="62">
        <f t="shared" si="6"/>
        <v>0</v>
      </c>
      <c r="N33" s="60"/>
      <c r="O33" s="61">
        <f t="shared" si="17"/>
        <v>91</v>
      </c>
      <c r="P33" s="62">
        <f t="shared" si="18"/>
        <v>38679.476938391424</v>
      </c>
      <c r="Q33" s="62">
        <f t="shared" si="32"/>
        <v>35907.028037727861</v>
      </c>
      <c r="R33" s="62">
        <f t="shared" si="33"/>
        <v>1113.1178691695636</v>
      </c>
      <c r="S33" s="62">
        <f t="shared" si="8"/>
        <v>0</v>
      </c>
      <c r="T33" s="57">
        <f t="shared" si="19"/>
        <v>0</v>
      </c>
      <c r="U33" s="62">
        <f t="shared" si="34"/>
        <v>37500</v>
      </c>
      <c r="V33" s="62">
        <f t="shared" si="20"/>
        <v>4689.4578617272582</v>
      </c>
      <c r="W33" s="62">
        <f t="shared" si="21"/>
        <v>4689.4578617272582</v>
      </c>
      <c r="X33" s="62">
        <f t="shared" si="35"/>
        <v>32330.688045170165</v>
      </c>
      <c r="Y33" s="62">
        <f t="shared" si="10"/>
        <v>42189.457861727256</v>
      </c>
      <c r="Z33" s="62">
        <f t="shared" si="11"/>
        <v>0</v>
      </c>
      <c r="AA33" s="62">
        <f t="shared" si="36"/>
        <v>0</v>
      </c>
      <c r="AB33" s="60"/>
      <c r="AC33" s="64">
        <f t="shared" si="12"/>
        <v>91</v>
      </c>
      <c r="AD33" s="62">
        <f t="shared" si="13"/>
        <v>-1052.9942770007494</v>
      </c>
      <c r="AE33" s="62">
        <f t="shared" si="37"/>
        <v>-12231.794506224365</v>
      </c>
      <c r="AF33" s="62">
        <f t="shared" si="14"/>
        <v>0</v>
      </c>
      <c r="AG33" s="62">
        <f t="shared" si="38"/>
        <v>0</v>
      </c>
      <c r="AH33" s="62">
        <f t="shared" si="15"/>
        <v>-1052.9942770007494</v>
      </c>
      <c r="AI33" s="62">
        <f t="shared" si="39"/>
        <v>-12231.794506224365</v>
      </c>
      <c r="AJ33" s="60"/>
      <c r="AK33" s="62">
        <f t="shared" si="22"/>
        <v>34274.967350043997</v>
      </c>
      <c r="AL33" s="62">
        <f t="shared" si="23"/>
        <v>32330.688045170165</v>
      </c>
      <c r="AM33" s="60"/>
      <c r="AO33" s="62">
        <f t="shared" si="40"/>
        <v>0</v>
      </c>
      <c r="AP33" s="62">
        <f t="shared" si="41"/>
        <v>0</v>
      </c>
      <c r="AQ33" s="62">
        <f t="shared" si="41"/>
        <v>0</v>
      </c>
      <c r="AR33" s="60">
        <f t="shared" si="24"/>
        <v>0</v>
      </c>
      <c r="AZ33" s="89">
        <f t="shared" si="44"/>
        <v>81</v>
      </c>
      <c r="BA33" s="90">
        <v>7.0800000000000002E-2</v>
      </c>
    </row>
    <row r="34" spans="3:53" s="55" customFormat="1" x14ac:dyDescent="0.3">
      <c r="C34" s="61">
        <f t="shared" si="26"/>
        <v>92</v>
      </c>
      <c r="D34" s="62">
        <f t="shared" si="27"/>
        <v>39491.745954097642</v>
      </c>
      <c r="E34" s="63">
        <f t="shared" si="28"/>
        <v>0</v>
      </c>
      <c r="F34" s="62">
        <f t="shared" si="29"/>
        <v>34274.967350043997</v>
      </c>
      <c r="G34" s="62">
        <f t="shared" si="30"/>
        <v>1062.5239878513639</v>
      </c>
      <c r="H34" s="62">
        <f t="shared" si="2"/>
        <v>0</v>
      </c>
      <c r="I34" s="62">
        <f t="shared" si="16"/>
        <v>4966.4427690213752</v>
      </c>
      <c r="J34" s="62">
        <f t="shared" si="3"/>
        <v>39491.745954097642</v>
      </c>
      <c r="K34" s="62">
        <f t="shared" si="4"/>
        <v>34274.967350043997</v>
      </c>
      <c r="L34" s="62">
        <f t="shared" si="31"/>
        <v>0</v>
      </c>
      <c r="M34" s="62">
        <f t="shared" si="6"/>
        <v>5216.7786040536448</v>
      </c>
      <c r="N34" s="60"/>
      <c r="O34" s="61">
        <f t="shared" si="17"/>
        <v>92</v>
      </c>
      <c r="P34" s="62">
        <f t="shared" si="18"/>
        <v>39491.745954097642</v>
      </c>
      <c r="Q34" s="62">
        <f t="shared" si="32"/>
        <v>32330.688045170165</v>
      </c>
      <c r="R34" s="62">
        <f t="shared" si="33"/>
        <v>1002.2513294002752</v>
      </c>
      <c r="S34" s="62">
        <f t="shared" si="8"/>
        <v>0</v>
      </c>
      <c r="T34" s="57">
        <f t="shared" si="19"/>
        <v>0</v>
      </c>
      <c r="U34" s="62">
        <f t="shared" si="34"/>
        <v>37500</v>
      </c>
      <c r="V34" s="62">
        <f t="shared" si="20"/>
        <v>4684.716697745157</v>
      </c>
      <c r="W34" s="62">
        <f t="shared" si="21"/>
        <v>4684.716697745157</v>
      </c>
      <c r="X34" s="62">
        <f t="shared" si="35"/>
        <v>28648.222676825288</v>
      </c>
      <c r="Y34" s="62">
        <f t="shared" si="10"/>
        <v>42184.716697745156</v>
      </c>
      <c r="Z34" s="62">
        <f t="shared" si="11"/>
        <v>0</v>
      </c>
      <c r="AA34" s="62">
        <f t="shared" si="36"/>
        <v>0</v>
      </c>
      <c r="AB34" s="60"/>
      <c r="AC34" s="64">
        <f t="shared" si="12"/>
        <v>92</v>
      </c>
      <c r="AD34" s="62">
        <f t="shared" si="13"/>
        <v>0</v>
      </c>
      <c r="AE34" s="62">
        <f t="shared" si="37"/>
        <v>-12231.794506224365</v>
      </c>
      <c r="AF34" s="62">
        <f t="shared" si="14"/>
        <v>5216.7786040536448</v>
      </c>
      <c r="AG34" s="62">
        <f t="shared" si="38"/>
        <v>5216.7786040536448</v>
      </c>
      <c r="AH34" s="62">
        <f t="shared" si="15"/>
        <v>5216.7786040536448</v>
      </c>
      <c r="AI34" s="62">
        <f t="shared" si="39"/>
        <v>-7015.0159021707204</v>
      </c>
      <c r="AJ34" s="60"/>
      <c r="AK34" s="62">
        <f t="shared" si="22"/>
        <v>0</v>
      </c>
      <c r="AL34" s="62">
        <f t="shared" si="23"/>
        <v>28648.222676825288</v>
      </c>
      <c r="AM34" s="60"/>
      <c r="AO34" s="62">
        <f t="shared" si="40"/>
        <v>0</v>
      </c>
      <c r="AP34" s="62">
        <f t="shared" si="41"/>
        <v>0</v>
      </c>
      <c r="AQ34" s="62">
        <f t="shared" si="41"/>
        <v>0</v>
      </c>
      <c r="AR34" s="60">
        <f t="shared" si="24"/>
        <v>0</v>
      </c>
      <c r="AZ34" s="89">
        <f t="shared" si="44"/>
        <v>82</v>
      </c>
      <c r="BA34" s="90">
        <v>7.3800000000000004E-2</v>
      </c>
    </row>
    <row r="35" spans="3:53" s="55" customFormat="1" x14ac:dyDescent="0.3">
      <c r="C35" s="61">
        <f t="shared" si="26"/>
        <v>93</v>
      </c>
      <c r="D35" s="62">
        <f t="shared" si="27"/>
        <v>40321.072619133687</v>
      </c>
      <c r="E35" s="63">
        <f t="shared" si="28"/>
        <v>0</v>
      </c>
      <c r="F35" s="62">
        <f t="shared" si="29"/>
        <v>0</v>
      </c>
      <c r="G35" s="62">
        <f t="shared" si="30"/>
        <v>0</v>
      </c>
      <c r="H35" s="62">
        <f t="shared" si="2"/>
        <v>0</v>
      </c>
      <c r="I35" s="62">
        <f t="shared" si="16"/>
        <v>0</v>
      </c>
      <c r="J35" s="62">
        <f t="shared" si="3"/>
        <v>40321.072619133687</v>
      </c>
      <c r="K35" s="62">
        <f t="shared" si="4"/>
        <v>0</v>
      </c>
      <c r="L35" s="62">
        <f t="shared" si="31"/>
        <v>0</v>
      </c>
      <c r="M35" s="62">
        <f t="shared" si="6"/>
        <v>40321.072619133687</v>
      </c>
      <c r="N35" s="60"/>
      <c r="O35" s="61">
        <f t="shared" si="17"/>
        <v>93</v>
      </c>
      <c r="P35" s="62">
        <f t="shared" si="18"/>
        <v>40321.072619133687</v>
      </c>
      <c r="Q35" s="62">
        <f t="shared" si="32"/>
        <v>28648.222676825288</v>
      </c>
      <c r="R35" s="62">
        <f t="shared" si="33"/>
        <v>888.09490298158391</v>
      </c>
      <c r="S35" s="62">
        <f t="shared" si="8"/>
        <v>0</v>
      </c>
      <c r="T35" s="57">
        <f t="shared" si="19"/>
        <v>0</v>
      </c>
      <c r="U35" s="62">
        <f t="shared" si="34"/>
        <v>37500</v>
      </c>
      <c r="V35" s="62">
        <f t="shared" si="20"/>
        <v>4681.1195853932513</v>
      </c>
      <c r="W35" s="62">
        <f t="shared" si="21"/>
        <v>4681.1195853932513</v>
      </c>
      <c r="X35" s="62">
        <f t="shared" si="35"/>
        <v>24855.197994413622</v>
      </c>
      <c r="Y35" s="62">
        <f t="shared" si="10"/>
        <v>42181.119585393251</v>
      </c>
      <c r="Z35" s="62">
        <f t="shared" si="11"/>
        <v>0</v>
      </c>
      <c r="AA35" s="62">
        <f t="shared" si="36"/>
        <v>0</v>
      </c>
      <c r="AB35" s="60"/>
      <c r="AC35" s="64">
        <f t="shared" si="12"/>
        <v>93</v>
      </c>
      <c r="AD35" s="62">
        <f t="shared" si="13"/>
        <v>0</v>
      </c>
      <c r="AE35" s="62">
        <f t="shared" si="37"/>
        <v>-12231.794506224365</v>
      </c>
      <c r="AF35" s="62">
        <f t="shared" si="14"/>
        <v>40321.072619133687</v>
      </c>
      <c r="AG35" s="62">
        <f t="shared" si="38"/>
        <v>45537.851223187332</v>
      </c>
      <c r="AH35" s="62">
        <f t="shared" si="15"/>
        <v>40321.072619133687</v>
      </c>
      <c r="AI35" s="62">
        <f t="shared" si="39"/>
        <v>33306.056716962965</v>
      </c>
      <c r="AJ35" s="60"/>
      <c r="AK35" s="62">
        <f t="shared" si="22"/>
        <v>0</v>
      </c>
      <c r="AL35" s="62">
        <f t="shared" si="23"/>
        <v>24855.197994413622</v>
      </c>
      <c r="AM35" s="60"/>
      <c r="AO35" s="62">
        <f t="shared" si="40"/>
        <v>0</v>
      </c>
      <c r="AP35" s="62">
        <f t="shared" si="41"/>
        <v>0</v>
      </c>
      <c r="AQ35" s="62">
        <f t="shared" si="41"/>
        <v>0</v>
      </c>
      <c r="AR35" s="60">
        <f t="shared" si="24"/>
        <v>0</v>
      </c>
      <c r="AZ35" s="89">
        <f t="shared" si="44"/>
        <v>83</v>
      </c>
      <c r="BA35" s="90">
        <v>7.7100000000000002E-2</v>
      </c>
    </row>
    <row r="36" spans="3:53" s="55" customFormat="1" x14ac:dyDescent="0.3">
      <c r="C36" s="61">
        <f t="shared" si="26"/>
        <v>94</v>
      </c>
      <c r="D36" s="62">
        <f t="shared" si="27"/>
        <v>41167.815144135493</v>
      </c>
      <c r="E36" s="63">
        <f t="shared" si="28"/>
        <v>0</v>
      </c>
      <c r="F36" s="62">
        <f t="shared" si="29"/>
        <v>0</v>
      </c>
      <c r="G36" s="62">
        <f t="shared" si="30"/>
        <v>0</v>
      </c>
      <c r="H36" s="62">
        <f t="shared" si="2"/>
        <v>0</v>
      </c>
      <c r="I36" s="62">
        <f t="shared" si="16"/>
        <v>0</v>
      </c>
      <c r="J36" s="62">
        <f t="shared" si="3"/>
        <v>41167.815144135493</v>
      </c>
      <c r="K36" s="62">
        <f t="shared" si="4"/>
        <v>0</v>
      </c>
      <c r="L36" s="62">
        <f t="shared" si="31"/>
        <v>0</v>
      </c>
      <c r="M36" s="62">
        <f t="shared" si="6"/>
        <v>41167.815144135493</v>
      </c>
      <c r="N36" s="60"/>
      <c r="O36" s="61">
        <f t="shared" si="17"/>
        <v>94</v>
      </c>
      <c r="P36" s="62">
        <f t="shared" si="18"/>
        <v>41167.815144135493</v>
      </c>
      <c r="Q36" s="62">
        <f t="shared" si="32"/>
        <v>24855.197994413622</v>
      </c>
      <c r="R36" s="62">
        <f t="shared" si="33"/>
        <v>770.51113782682228</v>
      </c>
      <c r="S36" s="62">
        <f t="shared" si="8"/>
        <v>0</v>
      </c>
      <c r="T36" s="57">
        <f t="shared" si="19"/>
        <v>0</v>
      </c>
      <c r="U36" s="62">
        <f t="shared" si="34"/>
        <v>37500</v>
      </c>
      <c r="V36" s="62">
        <f t="shared" si="20"/>
        <v>4670.2917031503202</v>
      </c>
      <c r="W36" s="62">
        <f t="shared" si="21"/>
        <v>4670.2917031503202</v>
      </c>
      <c r="X36" s="62">
        <f t="shared" si="35"/>
        <v>20955.417429090125</v>
      </c>
      <c r="Y36" s="62">
        <f t="shared" si="10"/>
        <v>42170.291703150317</v>
      </c>
      <c r="Z36" s="62">
        <f t="shared" si="11"/>
        <v>0</v>
      </c>
      <c r="AA36" s="62">
        <f t="shared" si="36"/>
        <v>0</v>
      </c>
      <c r="AB36" s="60"/>
      <c r="AC36" s="64">
        <f t="shared" si="12"/>
        <v>94</v>
      </c>
      <c r="AD36" s="62">
        <f t="shared" si="13"/>
        <v>0</v>
      </c>
      <c r="AE36" s="62">
        <f t="shared" si="37"/>
        <v>-12231.794506224365</v>
      </c>
      <c r="AF36" s="62">
        <f t="shared" si="14"/>
        <v>41167.815144135493</v>
      </c>
      <c r="AG36" s="62">
        <f t="shared" si="38"/>
        <v>86705.666367322818</v>
      </c>
      <c r="AH36" s="62">
        <f t="shared" si="15"/>
        <v>41167.815144135493</v>
      </c>
      <c r="AI36" s="62">
        <f t="shared" si="39"/>
        <v>74473.871861098451</v>
      </c>
      <c r="AJ36" s="60"/>
      <c r="AK36" s="62">
        <f t="shared" si="22"/>
        <v>0</v>
      </c>
      <c r="AL36" s="62">
        <f t="shared" si="23"/>
        <v>20955.417429090125</v>
      </c>
      <c r="AM36" s="60"/>
      <c r="AO36" s="62">
        <f t="shared" si="40"/>
        <v>0</v>
      </c>
      <c r="AP36" s="62">
        <f t="shared" si="41"/>
        <v>0</v>
      </c>
      <c r="AQ36" s="62">
        <f t="shared" si="41"/>
        <v>0</v>
      </c>
      <c r="AR36" s="60">
        <f t="shared" si="24"/>
        <v>0</v>
      </c>
      <c r="AZ36" s="89">
        <f t="shared" si="44"/>
        <v>84</v>
      </c>
      <c r="BA36" s="90">
        <v>8.0799999999999997E-2</v>
      </c>
    </row>
    <row r="37" spans="3:53" s="55" customFormat="1" x14ac:dyDescent="0.3">
      <c r="C37" s="61">
        <f t="shared" si="26"/>
        <v>95</v>
      </c>
      <c r="D37" s="62">
        <f t="shared" si="27"/>
        <v>42032.339262162335</v>
      </c>
      <c r="E37" s="63">
        <f t="shared" si="28"/>
        <v>0</v>
      </c>
      <c r="F37" s="62">
        <f t="shared" si="29"/>
        <v>0</v>
      </c>
      <c r="G37" s="62">
        <f t="shared" si="30"/>
        <v>0</v>
      </c>
      <c r="H37" s="62">
        <f t="shared" si="2"/>
        <v>0</v>
      </c>
      <c r="I37" s="62">
        <f t="shared" si="16"/>
        <v>0</v>
      </c>
      <c r="J37" s="62">
        <f t="shared" si="3"/>
        <v>42032.339262162335</v>
      </c>
      <c r="K37" s="62">
        <f t="shared" si="4"/>
        <v>0</v>
      </c>
      <c r="L37" s="62">
        <f t="shared" si="31"/>
        <v>0</v>
      </c>
      <c r="M37" s="62">
        <f t="shared" si="6"/>
        <v>42032.339262162335</v>
      </c>
      <c r="N37" s="60"/>
      <c r="O37" s="61">
        <f t="shared" si="17"/>
        <v>95</v>
      </c>
      <c r="P37" s="62">
        <f t="shared" si="18"/>
        <v>42032.339262162335</v>
      </c>
      <c r="Q37" s="62">
        <f t="shared" si="32"/>
        <v>20955.417429090125</v>
      </c>
      <c r="R37" s="62">
        <f t="shared" si="33"/>
        <v>649.61794030179385</v>
      </c>
      <c r="S37" s="62">
        <f t="shared" si="8"/>
        <v>0</v>
      </c>
      <c r="T37" s="57">
        <f t="shared" si="19"/>
        <v>0</v>
      </c>
      <c r="U37" s="62">
        <f t="shared" si="34"/>
        <v>37500</v>
      </c>
      <c r="V37" s="62">
        <f t="shared" si="20"/>
        <v>4191.0834858180251</v>
      </c>
      <c r="W37" s="62">
        <f t="shared" si="21"/>
        <v>4532.3392621623352</v>
      </c>
      <c r="X37" s="62">
        <f t="shared" si="35"/>
        <v>17072.696107229582</v>
      </c>
      <c r="Y37" s="62">
        <f t="shared" si="10"/>
        <v>42032.339262162335</v>
      </c>
      <c r="Z37" s="62">
        <f t="shared" si="11"/>
        <v>0</v>
      </c>
      <c r="AA37" s="62">
        <f t="shared" si="36"/>
        <v>0</v>
      </c>
      <c r="AB37" s="60"/>
      <c r="AC37" s="64">
        <f t="shared" si="12"/>
        <v>95</v>
      </c>
      <c r="AD37" s="62">
        <f t="shared" si="13"/>
        <v>0</v>
      </c>
      <c r="AE37" s="62">
        <f t="shared" si="37"/>
        <v>-12231.794506224365</v>
      </c>
      <c r="AF37" s="62">
        <f t="shared" si="14"/>
        <v>42032.339262162335</v>
      </c>
      <c r="AG37" s="62">
        <f t="shared" si="38"/>
        <v>128738.00562948515</v>
      </c>
      <c r="AH37" s="62">
        <f t="shared" si="15"/>
        <v>42032.339262162335</v>
      </c>
      <c r="AI37" s="62">
        <f t="shared" si="39"/>
        <v>116506.21112326079</v>
      </c>
      <c r="AJ37" s="60"/>
      <c r="AK37" s="62">
        <f t="shared" si="22"/>
        <v>0</v>
      </c>
      <c r="AL37" s="62">
        <f t="shared" si="23"/>
        <v>17072.696107229582</v>
      </c>
      <c r="AM37" s="60"/>
      <c r="AO37" s="62">
        <f t="shared" si="40"/>
        <v>0</v>
      </c>
      <c r="AP37" s="62">
        <f t="shared" si="41"/>
        <v>0</v>
      </c>
      <c r="AQ37" s="62">
        <f t="shared" si="41"/>
        <v>0</v>
      </c>
      <c r="AR37" s="60">
        <f t="shared" si="24"/>
        <v>0</v>
      </c>
      <c r="AZ37" s="89">
        <f t="shared" si="44"/>
        <v>85</v>
      </c>
      <c r="BA37" s="90">
        <v>8.5099999999999995E-2</v>
      </c>
    </row>
    <row r="38" spans="3:53" s="55" customFormat="1" x14ac:dyDescent="0.3">
      <c r="C38" s="61">
        <f t="shared" si="26"/>
        <v>96</v>
      </c>
      <c r="D38" s="62">
        <f t="shared" si="27"/>
        <v>42915.01838666774</v>
      </c>
      <c r="E38" s="63">
        <f t="shared" si="28"/>
        <v>0</v>
      </c>
      <c r="F38" s="62">
        <f t="shared" si="29"/>
        <v>0</v>
      </c>
      <c r="G38" s="62">
        <f t="shared" si="30"/>
        <v>0</v>
      </c>
      <c r="H38" s="62">
        <f t="shared" si="2"/>
        <v>0</v>
      </c>
      <c r="I38" s="62">
        <f t="shared" si="16"/>
        <v>0</v>
      </c>
      <c r="J38" s="62">
        <f t="shared" si="3"/>
        <v>42915.01838666774</v>
      </c>
      <c r="K38" s="62">
        <f t="shared" si="4"/>
        <v>0</v>
      </c>
      <c r="L38" s="62">
        <f t="shared" si="31"/>
        <v>0</v>
      </c>
      <c r="M38" s="62">
        <f t="shared" si="6"/>
        <v>42915.01838666774</v>
      </c>
      <c r="N38" s="60"/>
      <c r="O38" s="61">
        <f t="shared" si="17"/>
        <v>96</v>
      </c>
      <c r="P38" s="62">
        <f t="shared" si="18"/>
        <v>42915.01838666774</v>
      </c>
      <c r="Q38" s="62">
        <f t="shared" si="32"/>
        <v>17072.696107229582</v>
      </c>
      <c r="R38" s="62">
        <f t="shared" si="33"/>
        <v>529.25357932411703</v>
      </c>
      <c r="S38" s="62">
        <f t="shared" si="8"/>
        <v>0</v>
      </c>
      <c r="T38" s="57">
        <f t="shared" si="19"/>
        <v>0</v>
      </c>
      <c r="U38" s="62">
        <f t="shared" si="34"/>
        <v>37500</v>
      </c>
      <c r="V38" s="62">
        <f t="shared" si="20"/>
        <v>3414.5392214459166</v>
      </c>
      <c r="W38" s="62">
        <f t="shared" si="21"/>
        <v>5415.0183866677398</v>
      </c>
      <c r="X38" s="62">
        <f t="shared" si="35"/>
        <v>12186.93129988596</v>
      </c>
      <c r="Y38" s="62">
        <f t="shared" si="10"/>
        <v>42915.01838666774</v>
      </c>
      <c r="Z38" s="62">
        <f t="shared" si="11"/>
        <v>0</v>
      </c>
      <c r="AA38" s="62">
        <f t="shared" si="36"/>
        <v>0</v>
      </c>
      <c r="AB38" s="60"/>
      <c r="AC38" s="64">
        <f t="shared" si="12"/>
        <v>96</v>
      </c>
      <c r="AD38" s="62">
        <f t="shared" si="13"/>
        <v>0</v>
      </c>
      <c r="AE38" s="62">
        <f t="shared" si="37"/>
        <v>-12231.794506224365</v>
      </c>
      <c r="AF38" s="62">
        <f t="shared" si="14"/>
        <v>42915.01838666774</v>
      </c>
      <c r="AG38" s="62">
        <f t="shared" si="38"/>
        <v>171653.02401615289</v>
      </c>
      <c r="AH38" s="62">
        <f t="shared" si="15"/>
        <v>42915.01838666774</v>
      </c>
      <c r="AI38" s="62">
        <f t="shared" si="39"/>
        <v>159421.22950992853</v>
      </c>
      <c r="AJ38" s="60"/>
      <c r="AK38" s="62">
        <f t="shared" si="22"/>
        <v>0</v>
      </c>
      <c r="AL38" s="62">
        <f t="shared" si="23"/>
        <v>12186.93129988596</v>
      </c>
      <c r="AM38" s="60"/>
      <c r="AO38" s="62">
        <f t="shared" si="40"/>
        <v>0</v>
      </c>
      <c r="AP38" s="62">
        <f t="shared" si="41"/>
        <v>0</v>
      </c>
      <c r="AQ38" s="62">
        <f t="shared" si="41"/>
        <v>0</v>
      </c>
      <c r="AR38" s="60">
        <f t="shared" si="24"/>
        <v>0</v>
      </c>
      <c r="AZ38" s="89">
        <f t="shared" si="44"/>
        <v>86</v>
      </c>
      <c r="BA38" s="90">
        <v>8.9899999999999994E-2</v>
      </c>
    </row>
    <row r="39" spans="3:53" s="55" customFormat="1" x14ac:dyDescent="0.3">
      <c r="C39" s="61">
        <f t="shared" si="26"/>
        <v>97</v>
      </c>
      <c r="D39" s="62">
        <f t="shared" si="27"/>
        <v>43816.23377278776</v>
      </c>
      <c r="E39" s="63">
        <f t="shared" si="28"/>
        <v>0</v>
      </c>
      <c r="F39" s="62">
        <f t="shared" si="29"/>
        <v>0</v>
      </c>
      <c r="G39" s="62">
        <f t="shared" si="30"/>
        <v>0</v>
      </c>
      <c r="H39" s="62">
        <f t="shared" si="2"/>
        <v>0</v>
      </c>
      <c r="I39" s="62">
        <f t="shared" si="16"/>
        <v>0</v>
      </c>
      <c r="J39" s="62">
        <f t="shared" si="3"/>
        <v>43816.23377278776</v>
      </c>
      <c r="K39" s="62">
        <f t="shared" si="4"/>
        <v>0</v>
      </c>
      <c r="L39" s="62">
        <f t="shared" si="31"/>
        <v>0</v>
      </c>
      <c r="M39" s="62">
        <f t="shared" si="6"/>
        <v>43816.23377278776</v>
      </c>
      <c r="N39" s="60"/>
      <c r="O39" s="61">
        <f t="shared" si="17"/>
        <v>97</v>
      </c>
      <c r="P39" s="62">
        <f t="shared" si="18"/>
        <v>43816.23377278776</v>
      </c>
      <c r="Q39" s="62">
        <f t="shared" si="32"/>
        <v>12186.93129988596</v>
      </c>
      <c r="R39" s="62">
        <f t="shared" si="33"/>
        <v>377.79487029646475</v>
      </c>
      <c r="S39" s="62">
        <f t="shared" si="8"/>
        <v>0</v>
      </c>
      <c r="T39" s="57">
        <f t="shared" si="19"/>
        <v>0</v>
      </c>
      <c r="U39" s="62">
        <f t="shared" si="34"/>
        <v>37500</v>
      </c>
      <c r="V39" s="62">
        <f t="shared" si="20"/>
        <v>2437.3862599771924</v>
      </c>
      <c r="W39" s="62">
        <f t="shared" si="21"/>
        <v>6316.2337727877602</v>
      </c>
      <c r="X39" s="62">
        <f t="shared" si="35"/>
        <v>6248.4923973946643</v>
      </c>
      <c r="Y39" s="62">
        <f t="shared" si="10"/>
        <v>43816.23377278776</v>
      </c>
      <c r="Z39" s="62">
        <f t="shared" si="11"/>
        <v>0</v>
      </c>
      <c r="AA39" s="62">
        <f t="shared" si="36"/>
        <v>0</v>
      </c>
      <c r="AB39" s="60"/>
      <c r="AC39" s="64">
        <f t="shared" si="12"/>
        <v>97</v>
      </c>
      <c r="AD39" s="62">
        <f t="shared" si="13"/>
        <v>0</v>
      </c>
      <c r="AE39" s="62">
        <f t="shared" si="37"/>
        <v>-12231.794506224365</v>
      </c>
      <c r="AF39" s="62">
        <f t="shared" si="14"/>
        <v>43816.23377278776</v>
      </c>
      <c r="AG39" s="62">
        <f t="shared" si="38"/>
        <v>215469.25778894065</v>
      </c>
      <c r="AH39" s="62">
        <f t="shared" si="15"/>
        <v>43816.23377278776</v>
      </c>
      <c r="AI39" s="62">
        <f t="shared" si="39"/>
        <v>203237.46328271629</v>
      </c>
      <c r="AJ39" s="60"/>
      <c r="AK39" s="62">
        <f t="shared" si="22"/>
        <v>0</v>
      </c>
      <c r="AL39" s="62">
        <f t="shared" si="23"/>
        <v>6248.4923973946643</v>
      </c>
      <c r="AM39" s="60"/>
      <c r="AO39" s="62">
        <f t="shared" si="40"/>
        <v>0</v>
      </c>
      <c r="AP39" s="62">
        <f t="shared" si="41"/>
        <v>0</v>
      </c>
      <c r="AQ39" s="62">
        <f t="shared" si="41"/>
        <v>0</v>
      </c>
      <c r="AR39" s="60">
        <f t="shared" si="24"/>
        <v>0</v>
      </c>
      <c r="AZ39" s="89">
        <f t="shared" si="44"/>
        <v>87</v>
      </c>
      <c r="BA39" s="90">
        <v>9.5500000000000002E-2</v>
      </c>
    </row>
    <row r="40" spans="3:53" s="55" customFormat="1" x14ac:dyDescent="0.3">
      <c r="C40" s="61">
        <f t="shared" si="26"/>
        <v>98</v>
      </c>
      <c r="D40" s="62">
        <f t="shared" si="27"/>
        <v>44736.3746820163</v>
      </c>
      <c r="E40" s="63">
        <f t="shared" si="28"/>
        <v>0</v>
      </c>
      <c r="F40" s="62">
        <f t="shared" si="29"/>
        <v>0</v>
      </c>
      <c r="G40" s="62">
        <f t="shared" si="30"/>
        <v>0</v>
      </c>
      <c r="H40" s="62">
        <f t="shared" si="2"/>
        <v>0</v>
      </c>
      <c r="I40" s="62">
        <f t="shared" si="16"/>
        <v>0</v>
      </c>
      <c r="J40" s="62">
        <f t="shared" si="3"/>
        <v>44736.3746820163</v>
      </c>
      <c r="K40" s="62">
        <f t="shared" si="4"/>
        <v>0</v>
      </c>
      <c r="L40" s="62">
        <f t="shared" si="31"/>
        <v>0</v>
      </c>
      <c r="M40" s="62">
        <f t="shared" si="6"/>
        <v>44736.3746820163</v>
      </c>
      <c r="N40" s="60"/>
      <c r="O40" s="61">
        <f t="shared" si="17"/>
        <v>98</v>
      </c>
      <c r="P40" s="62">
        <f t="shared" si="18"/>
        <v>44736.3746820163</v>
      </c>
      <c r="Q40" s="62">
        <f t="shared" si="32"/>
        <v>6248.4923973946643</v>
      </c>
      <c r="R40" s="62">
        <f t="shared" si="33"/>
        <v>193.70326431923459</v>
      </c>
      <c r="S40" s="62">
        <f t="shared" si="8"/>
        <v>0</v>
      </c>
      <c r="T40" s="57">
        <f t="shared" si="19"/>
        <v>0</v>
      </c>
      <c r="U40" s="62">
        <f t="shared" si="34"/>
        <v>37500</v>
      </c>
      <c r="V40" s="62">
        <f t="shared" si="20"/>
        <v>1249.698479478933</v>
      </c>
      <c r="W40" s="62">
        <f t="shared" si="21"/>
        <v>7236.3746820162996</v>
      </c>
      <c r="X40" s="62">
        <f t="shared" si="35"/>
        <v>0</v>
      </c>
      <c r="Y40" s="62">
        <f t="shared" si="10"/>
        <v>43748.492397394664</v>
      </c>
      <c r="Z40" s="62">
        <f t="shared" si="11"/>
        <v>987.88228462163534</v>
      </c>
      <c r="AA40" s="62">
        <f t="shared" si="36"/>
        <v>0</v>
      </c>
      <c r="AB40" s="60"/>
      <c r="AC40" s="64">
        <f t="shared" si="12"/>
        <v>98</v>
      </c>
      <c r="AD40" s="62">
        <f t="shared" si="13"/>
        <v>0</v>
      </c>
      <c r="AE40" s="62">
        <f t="shared" si="37"/>
        <v>-12231.794506224365</v>
      </c>
      <c r="AF40" s="62">
        <f t="shared" si="14"/>
        <v>43748.492397394664</v>
      </c>
      <c r="AG40" s="62">
        <f t="shared" si="38"/>
        <v>259217.75018633532</v>
      </c>
      <c r="AH40" s="62">
        <f t="shared" si="15"/>
        <v>43748.492397394664</v>
      </c>
      <c r="AI40" s="62">
        <f t="shared" si="39"/>
        <v>246985.95568011096</v>
      </c>
      <c r="AJ40" s="60"/>
      <c r="AK40" s="62">
        <f t="shared" si="22"/>
        <v>0</v>
      </c>
      <c r="AL40" s="62">
        <f t="shared" si="23"/>
        <v>0</v>
      </c>
      <c r="AM40" s="60"/>
      <c r="AO40" s="62">
        <f t="shared" si="40"/>
        <v>0</v>
      </c>
      <c r="AP40" s="62">
        <f t="shared" si="41"/>
        <v>0</v>
      </c>
      <c r="AQ40" s="62">
        <f t="shared" si="41"/>
        <v>0</v>
      </c>
      <c r="AR40" s="60">
        <f t="shared" si="24"/>
        <v>0</v>
      </c>
      <c r="AZ40" s="89">
        <f t="shared" si="44"/>
        <v>88</v>
      </c>
      <c r="BA40" s="90">
        <v>0.1021</v>
      </c>
    </row>
    <row r="41" spans="3:53" s="55" customFormat="1" x14ac:dyDescent="0.3">
      <c r="C41" s="61">
        <f t="shared" si="26"/>
        <v>99</v>
      </c>
      <c r="D41" s="62">
        <f t="shared" si="27"/>
        <v>45675.838550338638</v>
      </c>
      <c r="E41" s="63">
        <f t="shared" si="28"/>
        <v>0</v>
      </c>
      <c r="F41" s="62">
        <f t="shared" si="29"/>
        <v>0</v>
      </c>
      <c r="G41" s="62">
        <f t="shared" si="30"/>
        <v>0</v>
      </c>
      <c r="H41" s="62">
        <f t="shared" si="2"/>
        <v>0</v>
      </c>
      <c r="I41" s="62">
        <f t="shared" si="16"/>
        <v>0</v>
      </c>
      <c r="J41" s="62">
        <f t="shared" si="3"/>
        <v>45675.838550338638</v>
      </c>
      <c r="K41" s="62">
        <f t="shared" si="4"/>
        <v>0</v>
      </c>
      <c r="L41" s="62">
        <f t="shared" si="31"/>
        <v>0</v>
      </c>
      <c r="M41" s="62">
        <f t="shared" si="6"/>
        <v>45675.838550338638</v>
      </c>
      <c r="N41" s="60"/>
      <c r="O41" s="61">
        <f t="shared" si="17"/>
        <v>99</v>
      </c>
      <c r="P41" s="62">
        <f t="shared" si="18"/>
        <v>45675.838550338638</v>
      </c>
      <c r="Q41" s="62">
        <f t="shared" si="32"/>
        <v>0</v>
      </c>
      <c r="R41" s="62">
        <f t="shared" si="33"/>
        <v>0</v>
      </c>
      <c r="S41" s="62">
        <f t="shared" si="8"/>
        <v>0</v>
      </c>
      <c r="T41" s="57">
        <f t="shared" si="19"/>
        <v>0</v>
      </c>
      <c r="U41" s="62">
        <f t="shared" si="34"/>
        <v>37500</v>
      </c>
      <c r="V41" s="62">
        <f t="shared" si="20"/>
        <v>0</v>
      </c>
      <c r="W41" s="62">
        <f t="shared" si="21"/>
        <v>8175.838550338638</v>
      </c>
      <c r="X41" s="62">
        <f t="shared" si="35"/>
        <v>0</v>
      </c>
      <c r="Y41" s="62">
        <f t="shared" si="10"/>
        <v>37500</v>
      </c>
      <c r="Z41" s="62">
        <f t="shared" si="11"/>
        <v>8175.838550338638</v>
      </c>
      <c r="AA41" s="62">
        <f t="shared" si="36"/>
        <v>0</v>
      </c>
      <c r="AB41" s="60"/>
      <c r="AC41" s="64">
        <f t="shared" si="12"/>
        <v>99</v>
      </c>
      <c r="AD41" s="62">
        <f t="shared" si="13"/>
        <v>0</v>
      </c>
      <c r="AE41" s="62">
        <f t="shared" si="37"/>
        <v>-12231.794506224365</v>
      </c>
      <c r="AF41" s="62">
        <f t="shared" si="14"/>
        <v>37500</v>
      </c>
      <c r="AG41" s="62">
        <f t="shared" si="38"/>
        <v>296717.7501863353</v>
      </c>
      <c r="AH41" s="62">
        <f t="shared" si="15"/>
        <v>37500</v>
      </c>
      <c r="AI41" s="62">
        <f t="shared" si="39"/>
        <v>284485.95568011096</v>
      </c>
      <c r="AJ41" s="60"/>
      <c r="AK41" s="62">
        <f t="shared" si="22"/>
        <v>0</v>
      </c>
      <c r="AL41" s="62">
        <f t="shared" si="23"/>
        <v>0</v>
      </c>
      <c r="AM41" s="60"/>
      <c r="AO41" s="62">
        <f t="shared" si="40"/>
        <v>0</v>
      </c>
      <c r="AP41" s="62">
        <f t="shared" si="41"/>
        <v>0</v>
      </c>
      <c r="AQ41" s="62">
        <f t="shared" si="41"/>
        <v>0</v>
      </c>
      <c r="AR41" s="60">
        <f t="shared" si="24"/>
        <v>0</v>
      </c>
      <c r="AZ41" s="89">
        <f t="shared" si="44"/>
        <v>89</v>
      </c>
      <c r="BA41" s="90">
        <v>0.1099</v>
      </c>
    </row>
    <row r="42" spans="3:53" s="55" customFormat="1" x14ac:dyDescent="0.3">
      <c r="C42" s="61">
        <f t="shared" si="26"/>
        <v>100</v>
      </c>
      <c r="D42" s="62">
        <f t="shared" si="27"/>
        <v>46635.031159895749</v>
      </c>
      <c r="E42" s="63">
        <f t="shared" si="28"/>
        <v>0</v>
      </c>
      <c r="F42" s="62">
        <f t="shared" si="29"/>
        <v>0</v>
      </c>
      <c r="G42" s="62">
        <f t="shared" si="30"/>
        <v>0</v>
      </c>
      <c r="H42" s="62">
        <f t="shared" si="2"/>
        <v>0</v>
      </c>
      <c r="I42" s="62">
        <f t="shared" si="16"/>
        <v>0</v>
      </c>
      <c r="J42" s="62">
        <f t="shared" si="3"/>
        <v>46635.031159895749</v>
      </c>
      <c r="K42" s="62">
        <f t="shared" si="4"/>
        <v>0</v>
      </c>
      <c r="L42" s="62">
        <f t="shared" si="31"/>
        <v>0</v>
      </c>
      <c r="M42" s="62">
        <f t="shared" si="6"/>
        <v>46635.031159895749</v>
      </c>
      <c r="N42" s="60"/>
      <c r="O42" s="61">
        <f t="shared" si="17"/>
        <v>100</v>
      </c>
      <c r="P42" s="62">
        <f t="shared" si="18"/>
        <v>46635.031159895749</v>
      </c>
      <c r="Q42" s="62">
        <f t="shared" si="32"/>
        <v>0</v>
      </c>
      <c r="R42" s="62">
        <f t="shared" si="33"/>
        <v>0</v>
      </c>
      <c r="S42" s="62">
        <f t="shared" si="8"/>
        <v>0</v>
      </c>
      <c r="T42" s="57">
        <f t="shared" si="19"/>
        <v>0</v>
      </c>
      <c r="U42" s="62">
        <f t="shared" si="34"/>
        <v>37500</v>
      </c>
      <c r="V42" s="62">
        <f t="shared" si="20"/>
        <v>0</v>
      </c>
      <c r="W42" s="62">
        <f t="shared" si="21"/>
        <v>9135.0311598957487</v>
      </c>
      <c r="X42" s="62">
        <f t="shared" si="35"/>
        <v>0</v>
      </c>
      <c r="Y42" s="62">
        <f t="shared" si="10"/>
        <v>37500</v>
      </c>
      <c r="Z42" s="62">
        <f t="shared" si="11"/>
        <v>9135.0311598957487</v>
      </c>
      <c r="AA42" s="62">
        <f t="shared" si="36"/>
        <v>0</v>
      </c>
      <c r="AB42" s="60"/>
      <c r="AC42" s="64">
        <f t="shared" si="12"/>
        <v>100</v>
      </c>
      <c r="AD42" s="62">
        <f t="shared" si="13"/>
        <v>0</v>
      </c>
      <c r="AE42" s="62">
        <f t="shared" si="37"/>
        <v>-12231.794506224365</v>
      </c>
      <c r="AF42" s="62">
        <f t="shared" si="14"/>
        <v>37500</v>
      </c>
      <c r="AG42" s="62">
        <f t="shared" si="38"/>
        <v>334217.7501863353</v>
      </c>
      <c r="AH42" s="62">
        <f t="shared" si="15"/>
        <v>37500</v>
      </c>
      <c r="AI42" s="62">
        <f t="shared" si="39"/>
        <v>321985.95568011096</v>
      </c>
      <c r="AJ42" s="60"/>
      <c r="AK42" s="62">
        <f t="shared" si="22"/>
        <v>0</v>
      </c>
      <c r="AL42" s="62">
        <f t="shared" si="23"/>
        <v>0</v>
      </c>
      <c r="AM42" s="60"/>
      <c r="AO42" s="62">
        <f t="shared" si="40"/>
        <v>0</v>
      </c>
      <c r="AP42" s="62">
        <f t="shared" si="41"/>
        <v>0</v>
      </c>
      <c r="AQ42" s="62">
        <f t="shared" si="41"/>
        <v>0</v>
      </c>
      <c r="AR42" s="60">
        <f t="shared" si="24"/>
        <v>0</v>
      </c>
      <c r="AZ42" s="89">
        <f t="shared" si="44"/>
        <v>90</v>
      </c>
      <c r="BA42" s="90">
        <v>0.1192</v>
      </c>
    </row>
    <row r="43" spans="3:53" s="55" customFormat="1" x14ac:dyDescent="0.3">
      <c r="C43" s="61">
        <f t="shared" si="26"/>
        <v>101</v>
      </c>
      <c r="D43" s="62">
        <f t="shared" si="27"/>
        <v>47614.366814253553</v>
      </c>
      <c r="E43" s="63">
        <f t="shared" si="28"/>
        <v>0</v>
      </c>
      <c r="F43" s="62">
        <f t="shared" si="29"/>
        <v>0</v>
      </c>
      <c r="G43" s="62">
        <f t="shared" si="30"/>
        <v>0</v>
      </c>
      <c r="H43" s="62">
        <f t="shared" si="2"/>
        <v>0</v>
      </c>
      <c r="I43" s="62">
        <f t="shared" si="16"/>
        <v>0</v>
      </c>
      <c r="J43" s="62">
        <f t="shared" si="3"/>
        <v>47614.366814253553</v>
      </c>
      <c r="K43" s="62">
        <f t="shared" si="4"/>
        <v>0</v>
      </c>
      <c r="L43" s="62">
        <f t="shared" si="31"/>
        <v>0</v>
      </c>
      <c r="M43" s="62">
        <f t="shared" si="6"/>
        <v>47614.366814253553</v>
      </c>
      <c r="N43" s="60"/>
      <c r="O43" s="61">
        <f t="shared" si="17"/>
        <v>101</v>
      </c>
      <c r="P43" s="62">
        <f t="shared" si="18"/>
        <v>47614.366814253553</v>
      </c>
      <c r="Q43" s="62">
        <f t="shared" si="32"/>
        <v>0</v>
      </c>
      <c r="R43" s="62">
        <f t="shared" si="33"/>
        <v>0</v>
      </c>
      <c r="S43" s="62">
        <f t="shared" si="8"/>
        <v>0</v>
      </c>
      <c r="T43" s="57">
        <f t="shared" si="19"/>
        <v>0</v>
      </c>
      <c r="U43" s="62">
        <f t="shared" si="34"/>
        <v>37500</v>
      </c>
      <c r="V43" s="62">
        <f t="shared" si="20"/>
        <v>0</v>
      </c>
      <c r="W43" s="62">
        <f t="shared" si="21"/>
        <v>10114.366814253553</v>
      </c>
      <c r="X43" s="62">
        <f t="shared" si="35"/>
        <v>0</v>
      </c>
      <c r="Y43" s="62">
        <f t="shared" si="10"/>
        <v>37500</v>
      </c>
      <c r="Z43" s="62">
        <f t="shared" si="11"/>
        <v>10114.366814253553</v>
      </c>
      <c r="AA43" s="62">
        <f t="shared" si="36"/>
        <v>0</v>
      </c>
      <c r="AB43" s="60"/>
      <c r="AC43" s="64">
        <f t="shared" si="12"/>
        <v>101</v>
      </c>
      <c r="AD43" s="62">
        <f t="shared" si="13"/>
        <v>0</v>
      </c>
      <c r="AE43" s="62">
        <f t="shared" si="37"/>
        <v>-12231.794506224365</v>
      </c>
      <c r="AF43" s="62">
        <f t="shared" si="14"/>
        <v>37500</v>
      </c>
      <c r="AG43" s="62">
        <f t="shared" si="38"/>
        <v>371717.7501863353</v>
      </c>
      <c r="AH43" s="62">
        <f t="shared" si="15"/>
        <v>37500</v>
      </c>
      <c r="AI43" s="62">
        <f t="shared" si="39"/>
        <v>359485.95568011096</v>
      </c>
      <c r="AJ43" s="60"/>
      <c r="AK43" s="62">
        <f t="shared" si="22"/>
        <v>0</v>
      </c>
      <c r="AL43" s="62">
        <f t="shared" si="23"/>
        <v>0</v>
      </c>
      <c r="AM43" s="60"/>
      <c r="AO43" s="62">
        <f t="shared" si="40"/>
        <v>0</v>
      </c>
      <c r="AP43" s="62">
        <f t="shared" si="41"/>
        <v>0</v>
      </c>
      <c r="AQ43" s="62">
        <f t="shared" si="41"/>
        <v>0</v>
      </c>
      <c r="AR43" s="60">
        <f t="shared" si="24"/>
        <v>0</v>
      </c>
      <c r="AZ43" s="89">
        <f t="shared" si="44"/>
        <v>91</v>
      </c>
      <c r="BA43" s="90">
        <v>0.13059999999999999</v>
      </c>
    </row>
    <row r="44" spans="3:53" s="55" customFormat="1" x14ac:dyDescent="0.3">
      <c r="C44" s="61">
        <f t="shared" si="26"/>
        <v>102</v>
      </c>
      <c r="D44" s="62">
        <f t="shared" si="27"/>
        <v>48614.268517352873</v>
      </c>
      <c r="E44" s="63">
        <f t="shared" si="28"/>
        <v>0</v>
      </c>
      <c r="F44" s="62">
        <f t="shared" si="29"/>
        <v>0</v>
      </c>
      <c r="G44" s="62">
        <f t="shared" si="30"/>
        <v>0</v>
      </c>
      <c r="H44" s="62">
        <f t="shared" si="2"/>
        <v>0</v>
      </c>
      <c r="I44" s="62">
        <f t="shared" si="16"/>
        <v>0</v>
      </c>
      <c r="J44" s="62">
        <f t="shared" si="3"/>
        <v>48614.268517352873</v>
      </c>
      <c r="K44" s="62">
        <f t="shared" si="4"/>
        <v>0</v>
      </c>
      <c r="L44" s="62">
        <f t="shared" si="31"/>
        <v>0</v>
      </c>
      <c r="M44" s="62">
        <f t="shared" si="6"/>
        <v>48614.268517352873</v>
      </c>
      <c r="N44" s="60"/>
      <c r="O44" s="61">
        <f t="shared" si="17"/>
        <v>102</v>
      </c>
      <c r="P44" s="62">
        <f t="shared" si="18"/>
        <v>48614.268517352873</v>
      </c>
      <c r="Q44" s="62">
        <f t="shared" si="32"/>
        <v>0</v>
      </c>
      <c r="R44" s="62">
        <f t="shared" si="33"/>
        <v>0</v>
      </c>
      <c r="S44" s="62">
        <f t="shared" si="8"/>
        <v>0</v>
      </c>
      <c r="T44" s="57">
        <f t="shared" si="19"/>
        <v>0</v>
      </c>
      <c r="U44" s="62">
        <f t="shared" si="34"/>
        <v>37500</v>
      </c>
      <c r="V44" s="62">
        <f t="shared" si="20"/>
        <v>0</v>
      </c>
      <c r="W44" s="62">
        <f t="shared" si="21"/>
        <v>11114.268517352873</v>
      </c>
      <c r="X44" s="62">
        <f t="shared" si="35"/>
        <v>0</v>
      </c>
      <c r="Y44" s="62">
        <f t="shared" si="10"/>
        <v>37500</v>
      </c>
      <c r="Z44" s="62">
        <f t="shared" si="11"/>
        <v>11114.268517352873</v>
      </c>
      <c r="AA44" s="62">
        <f t="shared" si="36"/>
        <v>0</v>
      </c>
      <c r="AB44" s="60"/>
      <c r="AC44" s="64">
        <f t="shared" si="12"/>
        <v>102</v>
      </c>
      <c r="AD44" s="62">
        <f t="shared" si="13"/>
        <v>0</v>
      </c>
      <c r="AE44" s="62">
        <f t="shared" si="37"/>
        <v>-12231.794506224365</v>
      </c>
      <c r="AF44" s="62">
        <f t="shared" si="14"/>
        <v>37500</v>
      </c>
      <c r="AG44" s="62">
        <f t="shared" si="38"/>
        <v>409217.7501863353</v>
      </c>
      <c r="AH44" s="62">
        <f t="shared" si="15"/>
        <v>37500</v>
      </c>
      <c r="AI44" s="62">
        <f t="shared" si="39"/>
        <v>396985.95568011096</v>
      </c>
      <c r="AJ44" s="60"/>
      <c r="AK44" s="62">
        <f t="shared" si="22"/>
        <v>0</v>
      </c>
      <c r="AL44" s="62">
        <f t="shared" si="23"/>
        <v>0</v>
      </c>
      <c r="AM44" s="60"/>
      <c r="AO44" s="62">
        <f t="shared" si="40"/>
        <v>0</v>
      </c>
      <c r="AP44" s="62">
        <f t="shared" si="41"/>
        <v>0</v>
      </c>
      <c r="AQ44" s="62">
        <f t="shared" si="41"/>
        <v>0</v>
      </c>
      <c r="AR44" s="60">
        <f t="shared" si="24"/>
        <v>0</v>
      </c>
      <c r="AZ44" s="89">
        <f t="shared" si="44"/>
        <v>92</v>
      </c>
      <c r="BA44" s="90">
        <v>0.1449</v>
      </c>
    </row>
    <row r="45" spans="3:53" s="55" customFormat="1" x14ac:dyDescent="0.3">
      <c r="C45" s="61">
        <f t="shared" si="26"/>
        <v>103</v>
      </c>
      <c r="D45" s="62">
        <f t="shared" si="27"/>
        <v>49635.168156217282</v>
      </c>
      <c r="E45" s="63">
        <f t="shared" si="28"/>
        <v>0</v>
      </c>
      <c r="F45" s="62">
        <f t="shared" si="29"/>
        <v>0</v>
      </c>
      <c r="G45" s="62">
        <f t="shared" si="30"/>
        <v>0</v>
      </c>
      <c r="H45" s="62">
        <f t="shared" si="2"/>
        <v>0</v>
      </c>
      <c r="I45" s="62">
        <f t="shared" si="16"/>
        <v>0</v>
      </c>
      <c r="J45" s="62">
        <f t="shared" si="3"/>
        <v>49635.168156217282</v>
      </c>
      <c r="K45" s="62">
        <f t="shared" si="4"/>
        <v>0</v>
      </c>
      <c r="L45" s="62">
        <f t="shared" si="31"/>
        <v>0</v>
      </c>
      <c r="M45" s="62">
        <f t="shared" si="6"/>
        <v>49635.168156217282</v>
      </c>
      <c r="N45" s="60"/>
      <c r="O45" s="61">
        <f t="shared" si="17"/>
        <v>103</v>
      </c>
      <c r="P45" s="62">
        <f t="shared" si="18"/>
        <v>49635.168156217282</v>
      </c>
      <c r="Q45" s="62">
        <f t="shared" si="32"/>
        <v>0</v>
      </c>
      <c r="R45" s="62">
        <f t="shared" si="33"/>
        <v>0</v>
      </c>
      <c r="S45" s="62">
        <f t="shared" si="8"/>
        <v>0</v>
      </c>
      <c r="T45" s="57">
        <f t="shared" si="19"/>
        <v>0</v>
      </c>
      <c r="U45" s="62">
        <f t="shared" si="34"/>
        <v>37500</v>
      </c>
      <c r="V45" s="62">
        <f t="shared" si="20"/>
        <v>0</v>
      </c>
      <c r="W45" s="62">
        <f t="shared" si="21"/>
        <v>12135.168156217282</v>
      </c>
      <c r="X45" s="62">
        <f t="shared" si="35"/>
        <v>0</v>
      </c>
      <c r="Y45" s="62">
        <f t="shared" si="10"/>
        <v>37500</v>
      </c>
      <c r="Z45" s="62">
        <f t="shared" si="11"/>
        <v>12135.168156217282</v>
      </c>
      <c r="AA45" s="62">
        <f t="shared" si="36"/>
        <v>0</v>
      </c>
      <c r="AB45" s="60"/>
      <c r="AC45" s="64">
        <f t="shared" si="12"/>
        <v>103</v>
      </c>
      <c r="AD45" s="62">
        <f t="shared" si="13"/>
        <v>0</v>
      </c>
      <c r="AE45" s="62">
        <f t="shared" si="37"/>
        <v>-12231.794506224365</v>
      </c>
      <c r="AF45" s="62">
        <f t="shared" si="14"/>
        <v>37500</v>
      </c>
      <c r="AG45" s="62">
        <f t="shared" si="38"/>
        <v>446717.7501863353</v>
      </c>
      <c r="AH45" s="62">
        <f t="shared" si="15"/>
        <v>37500</v>
      </c>
      <c r="AI45" s="62">
        <f t="shared" si="39"/>
        <v>434485.95568011096</v>
      </c>
      <c r="AJ45" s="60"/>
      <c r="AK45" s="62">
        <f t="shared" si="22"/>
        <v>0</v>
      </c>
      <c r="AL45" s="62">
        <f t="shared" si="23"/>
        <v>0</v>
      </c>
      <c r="AM45" s="60"/>
      <c r="AO45" s="62">
        <f t="shared" si="40"/>
        <v>0</v>
      </c>
      <c r="AP45" s="62">
        <f t="shared" si="41"/>
        <v>0</v>
      </c>
      <c r="AQ45" s="62">
        <f t="shared" si="41"/>
        <v>0</v>
      </c>
      <c r="AR45" s="60">
        <f t="shared" si="24"/>
        <v>0</v>
      </c>
      <c r="AZ45" s="89">
        <f t="shared" si="44"/>
        <v>93</v>
      </c>
      <c r="BA45" s="90">
        <v>0.16339999999999999</v>
      </c>
    </row>
    <row r="46" spans="3:53" s="55" customFormat="1" x14ac:dyDescent="0.3">
      <c r="C46" s="61">
        <f t="shared" si="26"/>
        <v>104</v>
      </c>
      <c r="D46" s="62">
        <f t="shared" si="27"/>
        <v>50677.506687497837</v>
      </c>
      <c r="E46" s="63">
        <f t="shared" si="28"/>
        <v>0</v>
      </c>
      <c r="F46" s="62">
        <f t="shared" si="29"/>
        <v>0</v>
      </c>
      <c r="G46" s="62">
        <f t="shared" si="30"/>
        <v>0</v>
      </c>
      <c r="H46" s="62">
        <f t="shared" si="2"/>
        <v>0</v>
      </c>
      <c r="I46" s="62">
        <f t="shared" si="16"/>
        <v>0</v>
      </c>
      <c r="J46" s="62">
        <f t="shared" si="3"/>
        <v>50677.506687497837</v>
      </c>
      <c r="K46" s="62">
        <f t="shared" si="4"/>
        <v>0</v>
      </c>
      <c r="L46" s="62">
        <f t="shared" si="31"/>
        <v>0</v>
      </c>
      <c r="M46" s="62">
        <f t="shared" si="6"/>
        <v>50677.506687497837</v>
      </c>
      <c r="N46" s="60"/>
      <c r="O46" s="61">
        <f t="shared" si="17"/>
        <v>104</v>
      </c>
      <c r="P46" s="62">
        <f t="shared" si="18"/>
        <v>50677.506687497837</v>
      </c>
      <c r="Q46" s="62">
        <f t="shared" si="32"/>
        <v>0</v>
      </c>
      <c r="R46" s="62">
        <f t="shared" si="33"/>
        <v>0</v>
      </c>
      <c r="S46" s="62">
        <f t="shared" si="8"/>
        <v>0</v>
      </c>
      <c r="T46" s="57">
        <f t="shared" si="19"/>
        <v>0</v>
      </c>
      <c r="U46" s="62">
        <f t="shared" si="34"/>
        <v>37500</v>
      </c>
      <c r="V46" s="62">
        <f t="shared" si="20"/>
        <v>0</v>
      </c>
      <c r="W46" s="62">
        <f t="shared" si="21"/>
        <v>13177.506687497837</v>
      </c>
      <c r="X46" s="62">
        <f t="shared" si="35"/>
        <v>0</v>
      </c>
      <c r="Y46" s="62">
        <f t="shared" si="10"/>
        <v>37500</v>
      </c>
      <c r="Z46" s="62">
        <f t="shared" si="11"/>
        <v>13177.506687497837</v>
      </c>
      <c r="AA46" s="62">
        <f t="shared" si="36"/>
        <v>0</v>
      </c>
      <c r="AB46" s="60"/>
      <c r="AC46" s="64">
        <f t="shared" si="12"/>
        <v>104</v>
      </c>
      <c r="AD46" s="62">
        <f t="shared" si="13"/>
        <v>0</v>
      </c>
      <c r="AE46" s="62">
        <f t="shared" si="37"/>
        <v>-12231.794506224365</v>
      </c>
      <c r="AF46" s="62">
        <f t="shared" si="14"/>
        <v>37500</v>
      </c>
      <c r="AG46" s="62">
        <f t="shared" si="38"/>
        <v>484217.7501863353</v>
      </c>
      <c r="AH46" s="62">
        <f t="shared" si="15"/>
        <v>37500</v>
      </c>
      <c r="AI46" s="62">
        <f t="shared" si="39"/>
        <v>471985.95568011096</v>
      </c>
      <c r="AJ46" s="60"/>
      <c r="AK46" s="62">
        <f t="shared" si="22"/>
        <v>0</v>
      </c>
      <c r="AL46" s="62">
        <f t="shared" si="23"/>
        <v>0</v>
      </c>
      <c r="AM46" s="60"/>
      <c r="AO46" s="62">
        <f t="shared" si="40"/>
        <v>0</v>
      </c>
      <c r="AP46" s="62">
        <f t="shared" si="41"/>
        <v>0</v>
      </c>
      <c r="AQ46" s="62">
        <f t="shared" si="41"/>
        <v>0</v>
      </c>
      <c r="AR46" s="60">
        <f t="shared" si="24"/>
        <v>0</v>
      </c>
      <c r="AZ46" s="89">
        <f t="shared" si="44"/>
        <v>94</v>
      </c>
      <c r="BA46" s="90">
        <v>0.18790000000000001</v>
      </c>
    </row>
    <row r="47" spans="3:53" s="55" customFormat="1" x14ac:dyDescent="0.3">
      <c r="C47" s="61">
        <f t="shared" si="26"/>
        <v>105</v>
      </c>
      <c r="D47" s="62">
        <f t="shared" si="27"/>
        <v>51741.734327935286</v>
      </c>
      <c r="E47" s="63">
        <f t="shared" si="28"/>
        <v>0</v>
      </c>
      <c r="F47" s="62">
        <f t="shared" si="29"/>
        <v>0</v>
      </c>
      <c r="G47" s="62">
        <f t="shared" si="30"/>
        <v>0</v>
      </c>
      <c r="H47" s="62">
        <f t="shared" si="2"/>
        <v>0</v>
      </c>
      <c r="I47" s="62">
        <f t="shared" si="16"/>
        <v>0</v>
      </c>
      <c r="J47" s="62">
        <f t="shared" si="3"/>
        <v>51741.734327935286</v>
      </c>
      <c r="K47" s="62">
        <f t="shared" si="4"/>
        <v>0</v>
      </c>
      <c r="L47" s="62">
        <f t="shared" si="31"/>
        <v>0</v>
      </c>
      <c r="M47" s="62">
        <f t="shared" si="6"/>
        <v>51741.734327935286</v>
      </c>
      <c r="N47" s="60"/>
      <c r="O47" s="61">
        <f t="shared" si="17"/>
        <v>105</v>
      </c>
      <c r="P47" s="62">
        <f t="shared" si="18"/>
        <v>51741.734327935286</v>
      </c>
      <c r="Q47" s="62">
        <f t="shared" si="32"/>
        <v>0</v>
      </c>
      <c r="R47" s="62">
        <f t="shared" si="33"/>
        <v>0</v>
      </c>
      <c r="S47" s="62">
        <f t="shared" si="8"/>
        <v>0</v>
      </c>
      <c r="T47" s="57">
        <f t="shared" si="19"/>
        <v>0</v>
      </c>
      <c r="U47" s="62">
        <f t="shared" si="34"/>
        <v>37500</v>
      </c>
      <c r="V47" s="62">
        <f t="shared" si="20"/>
        <v>0</v>
      </c>
      <c r="W47" s="62">
        <f t="shared" si="21"/>
        <v>14241.734327935286</v>
      </c>
      <c r="X47" s="62">
        <f t="shared" si="35"/>
        <v>0</v>
      </c>
      <c r="Y47" s="62">
        <f t="shared" si="10"/>
        <v>37500</v>
      </c>
      <c r="Z47" s="62">
        <f t="shared" si="11"/>
        <v>14241.734327935286</v>
      </c>
      <c r="AA47" s="62">
        <f t="shared" si="36"/>
        <v>0</v>
      </c>
      <c r="AB47" s="60"/>
      <c r="AC47" s="64">
        <f t="shared" si="12"/>
        <v>105</v>
      </c>
      <c r="AD47" s="62">
        <f t="shared" si="13"/>
        <v>0</v>
      </c>
      <c r="AE47" s="62">
        <f t="shared" si="37"/>
        <v>-12231.794506224365</v>
      </c>
      <c r="AF47" s="62">
        <f t="shared" si="14"/>
        <v>37500</v>
      </c>
      <c r="AG47" s="62">
        <f t="shared" si="38"/>
        <v>521717.7501863353</v>
      </c>
      <c r="AH47" s="62">
        <f t="shared" si="15"/>
        <v>37500</v>
      </c>
      <c r="AI47" s="62">
        <f t="shared" si="39"/>
        <v>509485.95568011096</v>
      </c>
      <c r="AJ47" s="60"/>
      <c r="AK47" s="62">
        <f t="shared" si="22"/>
        <v>0</v>
      </c>
      <c r="AL47" s="62">
        <f t="shared" si="23"/>
        <v>0</v>
      </c>
      <c r="AM47" s="60"/>
      <c r="AO47" s="62">
        <f t="shared" si="40"/>
        <v>0</v>
      </c>
      <c r="AP47" s="62">
        <f t="shared" si="41"/>
        <v>0</v>
      </c>
      <c r="AQ47" s="62">
        <f t="shared" si="41"/>
        <v>0</v>
      </c>
      <c r="AR47" s="60">
        <f t="shared" si="24"/>
        <v>0</v>
      </c>
      <c r="AZ47" s="89">
        <f t="shared" si="44"/>
        <v>95</v>
      </c>
      <c r="BA47" s="90">
        <v>0.2</v>
      </c>
    </row>
    <row r="48" spans="3:53" s="55" customFormat="1" x14ac:dyDescent="0.3">
      <c r="C48" s="61" t="str">
        <f t="shared" si="26"/>
        <v/>
      </c>
      <c r="D48" s="62">
        <f t="shared" si="27"/>
        <v>0</v>
      </c>
      <c r="E48" s="63">
        <f t="shared" si="28"/>
        <v>0</v>
      </c>
      <c r="F48" s="62" t="str">
        <f t="shared" si="29"/>
        <v xml:space="preserve"> </v>
      </c>
      <c r="G48" s="62">
        <f t="shared" si="30"/>
        <v>0</v>
      </c>
      <c r="H48" s="62">
        <f t="shared" si="2"/>
        <v>0</v>
      </c>
      <c r="I48" s="62">
        <f t="shared" si="16"/>
        <v>0</v>
      </c>
      <c r="J48" s="62">
        <f t="shared" si="3"/>
        <v>0</v>
      </c>
      <c r="K48" s="62">
        <f t="shared" si="4"/>
        <v>0</v>
      </c>
      <c r="L48" s="62" t="str">
        <f t="shared" si="31"/>
        <v/>
      </c>
      <c r="M48" s="62">
        <f t="shared" si="6"/>
        <v>0</v>
      </c>
      <c r="N48" s="60"/>
      <c r="O48" s="61" t="str">
        <f t="shared" si="17"/>
        <v/>
      </c>
      <c r="P48" s="62">
        <f t="shared" si="18"/>
        <v>0</v>
      </c>
      <c r="Q48" s="62" t="str">
        <f t="shared" si="32"/>
        <v xml:space="preserve"> </v>
      </c>
      <c r="R48" s="62">
        <f t="shared" si="33"/>
        <v>0</v>
      </c>
      <c r="S48" s="62">
        <f t="shared" si="8"/>
        <v>0</v>
      </c>
      <c r="T48" s="57">
        <f t="shared" si="19"/>
        <v>0</v>
      </c>
      <c r="U48" s="62">
        <f t="shared" si="34"/>
        <v>0</v>
      </c>
      <c r="V48" s="62">
        <f t="shared" si="20"/>
        <v>0</v>
      </c>
      <c r="W48" s="62">
        <f t="shared" si="21"/>
        <v>0</v>
      </c>
      <c r="X48" s="62" t="str">
        <f t="shared" si="35"/>
        <v/>
      </c>
      <c r="Y48" s="62">
        <f t="shared" si="10"/>
        <v>0</v>
      </c>
      <c r="Z48" s="62">
        <f t="shared" si="11"/>
        <v>0</v>
      </c>
      <c r="AA48" s="62">
        <f t="shared" si="36"/>
        <v>0</v>
      </c>
      <c r="AB48" s="60"/>
      <c r="AC48" s="64" t="str">
        <f t="shared" si="12"/>
        <v/>
      </c>
      <c r="AD48" s="62">
        <f t="shared" si="13"/>
        <v>0</v>
      </c>
      <c r="AE48" s="62" t="str">
        <f t="shared" si="37"/>
        <v xml:space="preserve"> </v>
      </c>
      <c r="AF48" s="62">
        <f t="shared" si="14"/>
        <v>0</v>
      </c>
      <c r="AG48" s="62" t="str">
        <f t="shared" si="38"/>
        <v xml:space="preserve"> </v>
      </c>
      <c r="AH48" s="62">
        <f t="shared" si="15"/>
        <v>0</v>
      </c>
      <c r="AI48" s="62" t="str">
        <f t="shared" si="39"/>
        <v xml:space="preserve"> </v>
      </c>
      <c r="AJ48" s="60"/>
      <c r="AK48" s="62" t="str">
        <f t="shared" si="22"/>
        <v/>
      </c>
      <c r="AL48" s="62" t="str">
        <f t="shared" si="23"/>
        <v/>
      </c>
      <c r="AM48" s="60"/>
      <c r="AO48" s="62">
        <f t="shared" si="40"/>
        <v>0</v>
      </c>
      <c r="AP48" s="62">
        <f t="shared" si="41"/>
        <v>0</v>
      </c>
      <c r="AQ48" s="62">
        <f t="shared" si="41"/>
        <v>0</v>
      </c>
      <c r="AR48" s="60" t="str">
        <f t="shared" si="24"/>
        <v xml:space="preserve"> </v>
      </c>
      <c r="AZ48" s="89">
        <f t="shared" si="44"/>
        <v>96</v>
      </c>
      <c r="BA48" s="90">
        <v>0.2</v>
      </c>
    </row>
    <row r="49" spans="3:53" s="55" customFormat="1" x14ac:dyDescent="0.3">
      <c r="C49" s="61" t="str">
        <f t="shared" si="26"/>
        <v/>
      </c>
      <c r="D49" s="62">
        <f t="shared" si="27"/>
        <v>0</v>
      </c>
      <c r="E49" s="63">
        <f t="shared" si="28"/>
        <v>0</v>
      </c>
      <c r="F49" s="62" t="str">
        <f t="shared" si="29"/>
        <v xml:space="preserve"> </v>
      </c>
      <c r="G49" s="62">
        <f t="shared" si="30"/>
        <v>0</v>
      </c>
      <c r="H49" s="62">
        <f t="shared" si="2"/>
        <v>0</v>
      </c>
      <c r="I49" s="62">
        <f t="shared" si="16"/>
        <v>0</v>
      </c>
      <c r="J49" s="62">
        <f t="shared" si="3"/>
        <v>0</v>
      </c>
      <c r="K49" s="62">
        <f t="shared" si="4"/>
        <v>0</v>
      </c>
      <c r="L49" s="62" t="str">
        <f t="shared" si="31"/>
        <v/>
      </c>
      <c r="M49" s="62">
        <f t="shared" si="6"/>
        <v>0</v>
      </c>
      <c r="N49" s="60"/>
      <c r="O49" s="61" t="str">
        <f t="shared" si="17"/>
        <v/>
      </c>
      <c r="P49" s="62">
        <f t="shared" si="18"/>
        <v>0</v>
      </c>
      <c r="Q49" s="62" t="str">
        <f t="shared" si="32"/>
        <v xml:space="preserve"> </v>
      </c>
      <c r="R49" s="62">
        <f t="shared" si="33"/>
        <v>0</v>
      </c>
      <c r="S49" s="62">
        <f t="shared" si="8"/>
        <v>0</v>
      </c>
      <c r="T49" s="57">
        <f t="shared" si="19"/>
        <v>0</v>
      </c>
      <c r="U49" s="62">
        <f t="shared" si="34"/>
        <v>0</v>
      </c>
      <c r="V49" s="62">
        <f t="shared" si="20"/>
        <v>0</v>
      </c>
      <c r="W49" s="62">
        <f t="shared" si="21"/>
        <v>0</v>
      </c>
      <c r="X49" s="62" t="str">
        <f t="shared" si="35"/>
        <v/>
      </c>
      <c r="Y49" s="62">
        <f t="shared" si="10"/>
        <v>0</v>
      </c>
      <c r="Z49" s="62">
        <f t="shared" si="11"/>
        <v>0</v>
      </c>
      <c r="AA49" s="62">
        <f t="shared" si="36"/>
        <v>0</v>
      </c>
      <c r="AB49" s="60"/>
      <c r="AC49" s="64" t="str">
        <f t="shared" si="12"/>
        <v/>
      </c>
      <c r="AD49" s="62">
        <f t="shared" si="13"/>
        <v>0</v>
      </c>
      <c r="AE49" s="62" t="str">
        <f t="shared" si="37"/>
        <v xml:space="preserve"> </v>
      </c>
      <c r="AF49" s="62">
        <f t="shared" si="14"/>
        <v>0</v>
      </c>
      <c r="AG49" s="62" t="str">
        <f t="shared" si="38"/>
        <v xml:space="preserve"> </v>
      </c>
      <c r="AH49" s="62">
        <f t="shared" si="15"/>
        <v>0</v>
      </c>
      <c r="AI49" s="62" t="str">
        <f t="shared" si="39"/>
        <v xml:space="preserve"> </v>
      </c>
      <c r="AJ49" s="60"/>
      <c r="AK49" s="62" t="str">
        <f t="shared" si="22"/>
        <v/>
      </c>
      <c r="AL49" s="62" t="str">
        <f t="shared" si="23"/>
        <v/>
      </c>
      <c r="AM49" s="60"/>
      <c r="AO49" s="62">
        <f t="shared" si="40"/>
        <v>0</v>
      </c>
      <c r="AP49" s="62">
        <f t="shared" si="41"/>
        <v>0</v>
      </c>
      <c r="AQ49" s="62">
        <f t="shared" si="41"/>
        <v>0</v>
      </c>
      <c r="AR49" s="60" t="str">
        <f t="shared" si="24"/>
        <v xml:space="preserve"> </v>
      </c>
      <c r="AZ49" s="89">
        <f t="shared" si="44"/>
        <v>97</v>
      </c>
      <c r="BA49" s="90">
        <v>0.2</v>
      </c>
    </row>
    <row r="50" spans="3:53" s="55" customFormat="1" x14ac:dyDescent="0.3">
      <c r="C50" s="61" t="str">
        <f t="shared" si="26"/>
        <v/>
      </c>
      <c r="D50" s="62">
        <f t="shared" si="27"/>
        <v>0</v>
      </c>
      <c r="E50" s="63">
        <f t="shared" si="28"/>
        <v>0</v>
      </c>
      <c r="F50" s="62" t="str">
        <f t="shared" si="29"/>
        <v xml:space="preserve"> </v>
      </c>
      <c r="G50" s="62">
        <f t="shared" si="30"/>
        <v>0</v>
      </c>
      <c r="H50" s="62">
        <f t="shared" si="2"/>
        <v>0</v>
      </c>
      <c r="I50" s="62">
        <f t="shared" si="16"/>
        <v>0</v>
      </c>
      <c r="J50" s="62">
        <f t="shared" si="3"/>
        <v>0</v>
      </c>
      <c r="K50" s="62">
        <f t="shared" si="4"/>
        <v>0</v>
      </c>
      <c r="L50" s="62" t="str">
        <f t="shared" si="31"/>
        <v/>
      </c>
      <c r="M50" s="62">
        <f t="shared" si="6"/>
        <v>0</v>
      </c>
      <c r="N50" s="60"/>
      <c r="O50" s="61" t="str">
        <f t="shared" si="17"/>
        <v/>
      </c>
      <c r="P50" s="62">
        <f t="shared" si="18"/>
        <v>0</v>
      </c>
      <c r="Q50" s="62" t="str">
        <f t="shared" si="32"/>
        <v xml:space="preserve"> </v>
      </c>
      <c r="R50" s="62">
        <f t="shared" si="33"/>
        <v>0</v>
      </c>
      <c r="S50" s="62">
        <f t="shared" si="8"/>
        <v>0</v>
      </c>
      <c r="T50" s="57">
        <f t="shared" si="19"/>
        <v>0</v>
      </c>
      <c r="U50" s="62">
        <f t="shared" si="34"/>
        <v>0</v>
      </c>
      <c r="V50" s="62">
        <f t="shared" si="20"/>
        <v>0</v>
      </c>
      <c r="W50" s="62">
        <f t="shared" si="21"/>
        <v>0</v>
      </c>
      <c r="X50" s="62" t="str">
        <f t="shared" si="35"/>
        <v/>
      </c>
      <c r="Y50" s="62">
        <f t="shared" si="10"/>
        <v>0</v>
      </c>
      <c r="Z50" s="62">
        <f t="shared" si="11"/>
        <v>0</v>
      </c>
      <c r="AA50" s="62">
        <f t="shared" si="36"/>
        <v>0</v>
      </c>
      <c r="AB50" s="60"/>
      <c r="AC50" s="64" t="str">
        <f t="shared" si="12"/>
        <v/>
      </c>
      <c r="AD50" s="62">
        <f t="shared" si="13"/>
        <v>0</v>
      </c>
      <c r="AE50" s="62" t="str">
        <f t="shared" si="37"/>
        <v xml:space="preserve"> </v>
      </c>
      <c r="AF50" s="62">
        <f t="shared" si="14"/>
        <v>0</v>
      </c>
      <c r="AG50" s="62" t="str">
        <f t="shared" si="38"/>
        <v xml:space="preserve"> </v>
      </c>
      <c r="AH50" s="62">
        <f t="shared" si="15"/>
        <v>0</v>
      </c>
      <c r="AI50" s="62" t="str">
        <f t="shared" si="39"/>
        <v xml:space="preserve"> </v>
      </c>
      <c r="AJ50" s="60"/>
      <c r="AK50" s="62" t="str">
        <f t="shared" si="22"/>
        <v/>
      </c>
      <c r="AL50" s="62" t="str">
        <f t="shared" si="23"/>
        <v/>
      </c>
      <c r="AM50" s="60"/>
      <c r="AO50" s="62">
        <f t="shared" si="40"/>
        <v>0</v>
      </c>
      <c r="AP50" s="62">
        <f t="shared" si="41"/>
        <v>0</v>
      </c>
      <c r="AQ50" s="62">
        <f t="shared" si="41"/>
        <v>0</v>
      </c>
      <c r="AR50" s="60" t="str">
        <f t="shared" si="24"/>
        <v xml:space="preserve"> </v>
      </c>
      <c r="AZ50" s="89">
        <f t="shared" si="44"/>
        <v>98</v>
      </c>
      <c r="BA50" s="90">
        <v>0.2</v>
      </c>
    </row>
    <row r="51" spans="3:53" s="55" customFormat="1" x14ac:dyDescent="0.3">
      <c r="C51" s="61" t="str">
        <f t="shared" si="26"/>
        <v/>
      </c>
      <c r="D51" s="62">
        <f t="shared" si="27"/>
        <v>0</v>
      </c>
      <c r="E51" s="63">
        <f t="shared" si="28"/>
        <v>0</v>
      </c>
      <c r="F51" s="62" t="str">
        <f t="shared" si="29"/>
        <v xml:space="preserve"> </v>
      </c>
      <c r="G51" s="62">
        <f t="shared" si="30"/>
        <v>0</v>
      </c>
      <c r="H51" s="62">
        <f t="shared" si="2"/>
        <v>0</v>
      </c>
      <c r="I51" s="62">
        <f t="shared" si="16"/>
        <v>0</v>
      </c>
      <c r="J51" s="62">
        <f t="shared" si="3"/>
        <v>0</v>
      </c>
      <c r="K51" s="62">
        <f t="shared" si="4"/>
        <v>0</v>
      </c>
      <c r="L51" s="62" t="str">
        <f t="shared" si="31"/>
        <v/>
      </c>
      <c r="M51" s="62">
        <f t="shared" si="6"/>
        <v>0</v>
      </c>
      <c r="N51" s="60"/>
      <c r="O51" s="61" t="str">
        <f t="shared" si="17"/>
        <v/>
      </c>
      <c r="P51" s="62">
        <f t="shared" si="18"/>
        <v>0</v>
      </c>
      <c r="Q51" s="62" t="str">
        <f t="shared" si="32"/>
        <v xml:space="preserve"> </v>
      </c>
      <c r="R51" s="62">
        <f t="shared" si="33"/>
        <v>0</v>
      </c>
      <c r="S51" s="62">
        <f t="shared" si="8"/>
        <v>0</v>
      </c>
      <c r="T51" s="57">
        <f t="shared" si="19"/>
        <v>0</v>
      </c>
      <c r="U51" s="62">
        <f t="shared" si="34"/>
        <v>0</v>
      </c>
      <c r="V51" s="62">
        <f t="shared" si="20"/>
        <v>0</v>
      </c>
      <c r="W51" s="62">
        <f t="shared" si="21"/>
        <v>0</v>
      </c>
      <c r="X51" s="62" t="str">
        <f t="shared" si="35"/>
        <v/>
      </c>
      <c r="Y51" s="62">
        <f t="shared" si="10"/>
        <v>0</v>
      </c>
      <c r="Z51" s="62">
        <f t="shared" si="11"/>
        <v>0</v>
      </c>
      <c r="AA51" s="62">
        <f t="shared" si="36"/>
        <v>0</v>
      </c>
      <c r="AB51" s="60"/>
      <c r="AC51" s="64" t="str">
        <f t="shared" si="12"/>
        <v/>
      </c>
      <c r="AD51" s="62">
        <f t="shared" si="13"/>
        <v>0</v>
      </c>
      <c r="AE51" s="62" t="str">
        <f t="shared" si="37"/>
        <v xml:space="preserve"> </v>
      </c>
      <c r="AF51" s="62">
        <f t="shared" si="14"/>
        <v>0</v>
      </c>
      <c r="AG51" s="62" t="str">
        <f t="shared" si="38"/>
        <v xml:space="preserve"> </v>
      </c>
      <c r="AH51" s="62">
        <f t="shared" si="15"/>
        <v>0</v>
      </c>
      <c r="AI51" s="62" t="str">
        <f t="shared" si="39"/>
        <v xml:space="preserve"> </v>
      </c>
      <c r="AJ51" s="60"/>
      <c r="AK51" s="62" t="str">
        <f t="shared" si="22"/>
        <v/>
      </c>
      <c r="AL51" s="62" t="str">
        <f t="shared" si="23"/>
        <v/>
      </c>
      <c r="AM51" s="60"/>
      <c r="AO51" s="62">
        <f t="shared" si="40"/>
        <v>0</v>
      </c>
      <c r="AP51" s="62">
        <f t="shared" si="41"/>
        <v>0</v>
      </c>
      <c r="AQ51" s="62">
        <f t="shared" si="41"/>
        <v>0</v>
      </c>
      <c r="AR51" s="60" t="str">
        <f t="shared" si="24"/>
        <v xml:space="preserve"> </v>
      </c>
      <c r="AZ51" s="89">
        <f t="shared" si="44"/>
        <v>99</v>
      </c>
      <c r="BA51" s="90">
        <v>0.2</v>
      </c>
    </row>
    <row r="52" spans="3:53" s="55" customFormat="1" x14ac:dyDescent="0.3">
      <c r="C52" s="61" t="str">
        <f t="shared" si="26"/>
        <v/>
      </c>
      <c r="D52" s="62">
        <f t="shared" si="27"/>
        <v>0</v>
      </c>
      <c r="E52" s="63">
        <f t="shared" si="28"/>
        <v>0</v>
      </c>
      <c r="F52" s="62" t="str">
        <f t="shared" si="29"/>
        <v xml:space="preserve"> </v>
      </c>
      <c r="G52" s="62">
        <f t="shared" si="30"/>
        <v>0</v>
      </c>
      <c r="H52" s="62">
        <f t="shared" si="2"/>
        <v>0</v>
      </c>
      <c r="I52" s="62">
        <f t="shared" si="16"/>
        <v>0</v>
      </c>
      <c r="J52" s="62">
        <f t="shared" si="3"/>
        <v>0</v>
      </c>
      <c r="K52" s="62">
        <f t="shared" si="4"/>
        <v>0</v>
      </c>
      <c r="L52" s="62" t="str">
        <f t="shared" si="31"/>
        <v/>
      </c>
      <c r="M52" s="62">
        <f t="shared" si="6"/>
        <v>0</v>
      </c>
      <c r="N52" s="60"/>
      <c r="O52" s="61" t="str">
        <f t="shared" si="17"/>
        <v/>
      </c>
      <c r="P52" s="62">
        <f t="shared" si="18"/>
        <v>0</v>
      </c>
      <c r="Q52" s="62" t="str">
        <f t="shared" si="32"/>
        <v xml:space="preserve"> </v>
      </c>
      <c r="R52" s="62">
        <f t="shared" si="33"/>
        <v>0</v>
      </c>
      <c r="S52" s="62">
        <f t="shared" si="8"/>
        <v>0</v>
      </c>
      <c r="T52" s="57">
        <f t="shared" si="19"/>
        <v>0</v>
      </c>
      <c r="U52" s="62">
        <f t="shared" si="34"/>
        <v>0</v>
      </c>
      <c r="V52" s="62">
        <f t="shared" si="20"/>
        <v>0</v>
      </c>
      <c r="W52" s="62">
        <f t="shared" si="21"/>
        <v>0</v>
      </c>
      <c r="X52" s="62" t="str">
        <f t="shared" si="35"/>
        <v/>
      </c>
      <c r="Y52" s="62">
        <f t="shared" si="10"/>
        <v>0</v>
      </c>
      <c r="Z52" s="62">
        <f t="shared" si="11"/>
        <v>0</v>
      </c>
      <c r="AA52" s="62">
        <f t="shared" si="36"/>
        <v>0</v>
      </c>
      <c r="AB52" s="60"/>
      <c r="AC52" s="64" t="str">
        <f t="shared" si="12"/>
        <v/>
      </c>
      <c r="AD52" s="62">
        <f t="shared" si="13"/>
        <v>0</v>
      </c>
      <c r="AE52" s="62" t="str">
        <f t="shared" si="37"/>
        <v xml:space="preserve"> </v>
      </c>
      <c r="AF52" s="62">
        <f t="shared" si="14"/>
        <v>0</v>
      </c>
      <c r="AG52" s="62" t="str">
        <f t="shared" si="38"/>
        <v xml:space="preserve"> </v>
      </c>
      <c r="AH52" s="62">
        <f t="shared" si="15"/>
        <v>0</v>
      </c>
      <c r="AI52" s="62" t="str">
        <f t="shared" si="39"/>
        <v xml:space="preserve"> </v>
      </c>
      <c r="AJ52" s="60"/>
      <c r="AK52" s="62" t="str">
        <f t="shared" si="22"/>
        <v/>
      </c>
      <c r="AL52" s="62" t="str">
        <f t="shared" si="23"/>
        <v/>
      </c>
      <c r="AM52" s="60"/>
      <c r="AO52" s="62">
        <f t="shared" si="40"/>
        <v>0</v>
      </c>
      <c r="AP52" s="62">
        <f t="shared" si="41"/>
        <v>0</v>
      </c>
      <c r="AQ52" s="62">
        <f t="shared" si="41"/>
        <v>0</v>
      </c>
      <c r="AR52" s="60" t="str">
        <f t="shared" si="24"/>
        <v xml:space="preserve"> </v>
      </c>
      <c r="AZ52" s="89">
        <f t="shared" si="44"/>
        <v>100</v>
      </c>
      <c r="BA52" s="90">
        <v>0.2</v>
      </c>
    </row>
    <row r="53" spans="3:53" x14ac:dyDescent="0.3">
      <c r="C53" s="61" t="str">
        <f t="shared" si="26"/>
        <v/>
      </c>
      <c r="D53" s="62">
        <f t="shared" si="27"/>
        <v>0</v>
      </c>
      <c r="E53" s="63">
        <f t="shared" si="28"/>
        <v>0</v>
      </c>
      <c r="F53" s="62" t="str">
        <f t="shared" si="29"/>
        <v xml:space="preserve"> </v>
      </c>
      <c r="G53" s="62">
        <f t="shared" si="30"/>
        <v>0</v>
      </c>
      <c r="H53" s="62">
        <f t="shared" ref="H53:H56" si="45">IF($A$2&gt;C53,$A$4,0)</f>
        <v>0</v>
      </c>
      <c r="I53" s="62">
        <f t="shared" si="16"/>
        <v>0</v>
      </c>
      <c r="J53" s="62">
        <f t="shared" ref="J53:J56" si="46">MAX(D53,I53)</f>
        <v>0</v>
      </c>
      <c r="K53" s="62">
        <f t="shared" ref="K53:K56" si="47">MIN(J53,F53)</f>
        <v>0</v>
      </c>
      <c r="L53" s="62" t="str">
        <f t="shared" si="31"/>
        <v/>
      </c>
      <c r="M53" s="62">
        <f t="shared" ref="M53:M56" si="48">MAX(0,D53-K53)</f>
        <v>0</v>
      </c>
      <c r="O53" s="61" t="str">
        <f t="shared" ref="O53:O57" si="49">C53</f>
        <v/>
      </c>
      <c r="P53" s="62">
        <f t="shared" ref="P53:P57" si="50">D53</f>
        <v>0</v>
      </c>
      <c r="Q53" s="62" t="str">
        <f t="shared" si="32"/>
        <v xml:space="preserve"> </v>
      </c>
      <c r="R53" s="62">
        <f t="shared" si="33"/>
        <v>0</v>
      </c>
      <c r="S53" s="62">
        <f t="shared" ref="S53:S57" si="51">H53</f>
        <v>0</v>
      </c>
      <c r="T53" s="57">
        <f t="shared" si="19"/>
        <v>0</v>
      </c>
      <c r="U53" s="62">
        <f t="shared" si="34"/>
        <v>0</v>
      </c>
      <c r="V53" s="62">
        <f t="shared" si="20"/>
        <v>0</v>
      </c>
      <c r="W53" s="62">
        <f t="shared" ref="W53:W57" si="52">MAX((D53-U53),V53,0)</f>
        <v>0</v>
      </c>
      <c r="X53" s="62" t="str">
        <f t="shared" si="35"/>
        <v/>
      </c>
      <c r="Y53" s="62">
        <f t="shared" ref="Y53:Y57" si="53">MIN(W53,Q53)+U53</f>
        <v>0</v>
      </c>
      <c r="Z53" s="62">
        <f t="shared" ref="Z53:Z57" si="54">MAX(0,D53-Y53)</f>
        <v>0</v>
      </c>
      <c r="AA53" s="62">
        <f t="shared" si="36"/>
        <v>0</v>
      </c>
      <c r="AC53" s="64" t="str">
        <f t="shared" ref="AC53:AC57" si="55">C53</f>
        <v/>
      </c>
      <c r="AD53" s="62">
        <f t="shared" si="13"/>
        <v>0</v>
      </c>
      <c r="AE53" s="62" t="str">
        <f t="shared" si="37"/>
        <v xml:space="preserve"> </v>
      </c>
      <c r="AF53" s="62">
        <f t="shared" si="14"/>
        <v>0</v>
      </c>
      <c r="AG53" s="62" t="str">
        <f t="shared" si="38"/>
        <v xml:space="preserve"> </v>
      </c>
      <c r="AH53" s="62">
        <f t="shared" ref="AH53:AH57" si="56">AF53+AD53</f>
        <v>0</v>
      </c>
      <c r="AI53" s="62" t="str">
        <f t="shared" si="39"/>
        <v xml:space="preserve"> </v>
      </c>
      <c r="AJ53" s="60"/>
      <c r="AK53" s="62" t="str">
        <f t="shared" si="22"/>
        <v/>
      </c>
      <c r="AL53" s="62" t="str">
        <f t="shared" si="23"/>
        <v/>
      </c>
      <c r="AO53" s="62">
        <f t="shared" si="40"/>
        <v>0</v>
      </c>
      <c r="AP53" s="62">
        <f t="shared" si="41"/>
        <v>0</v>
      </c>
      <c r="AQ53" s="62">
        <f t="shared" si="41"/>
        <v>0</v>
      </c>
      <c r="AR53" s="60" t="str">
        <f t="shared" si="24"/>
        <v xml:space="preserve"> </v>
      </c>
    </row>
    <row r="54" spans="3:53" x14ac:dyDescent="0.3">
      <c r="C54" s="61" t="str">
        <f t="shared" si="26"/>
        <v/>
      </c>
      <c r="D54" s="62">
        <f t="shared" si="27"/>
        <v>0</v>
      </c>
      <c r="E54" s="63">
        <f t="shared" si="28"/>
        <v>0</v>
      </c>
      <c r="F54" s="62" t="str">
        <f t="shared" si="29"/>
        <v xml:space="preserve"> </v>
      </c>
      <c r="G54" s="62">
        <f t="shared" si="30"/>
        <v>0</v>
      </c>
      <c r="H54" s="62">
        <f t="shared" si="45"/>
        <v>0</v>
      </c>
      <c r="I54" s="62">
        <f t="shared" si="16"/>
        <v>0</v>
      </c>
      <c r="J54" s="62">
        <f t="shared" si="46"/>
        <v>0</v>
      </c>
      <c r="K54" s="62">
        <f t="shared" si="47"/>
        <v>0</v>
      </c>
      <c r="L54" s="62" t="str">
        <f t="shared" si="31"/>
        <v/>
      </c>
      <c r="M54" s="62">
        <f t="shared" si="48"/>
        <v>0</v>
      </c>
      <c r="O54" s="61" t="str">
        <f t="shared" si="49"/>
        <v/>
      </c>
      <c r="P54" s="62">
        <f t="shared" si="50"/>
        <v>0</v>
      </c>
      <c r="Q54" s="62" t="str">
        <f t="shared" si="32"/>
        <v xml:space="preserve"> </v>
      </c>
      <c r="R54" s="62">
        <f t="shared" si="33"/>
        <v>0</v>
      </c>
      <c r="S54" s="62">
        <f t="shared" si="51"/>
        <v>0</v>
      </c>
      <c r="T54" s="57">
        <f t="shared" si="19"/>
        <v>0</v>
      </c>
      <c r="U54" s="62">
        <f t="shared" si="34"/>
        <v>0</v>
      </c>
      <c r="V54" s="62">
        <f t="shared" si="20"/>
        <v>0</v>
      </c>
      <c r="W54" s="62">
        <f t="shared" si="52"/>
        <v>0</v>
      </c>
      <c r="X54" s="62" t="str">
        <f t="shared" si="35"/>
        <v/>
      </c>
      <c r="Y54" s="62">
        <f t="shared" si="53"/>
        <v>0</v>
      </c>
      <c r="Z54" s="62">
        <f t="shared" si="54"/>
        <v>0</v>
      </c>
      <c r="AA54" s="62">
        <f t="shared" si="36"/>
        <v>0</v>
      </c>
      <c r="AC54" s="64" t="str">
        <f t="shared" si="55"/>
        <v/>
      </c>
      <c r="AD54" s="62">
        <f t="shared" si="13"/>
        <v>0</v>
      </c>
      <c r="AE54" s="62" t="str">
        <f t="shared" si="37"/>
        <v xml:space="preserve"> </v>
      </c>
      <c r="AF54" s="62">
        <f t="shared" si="14"/>
        <v>0</v>
      </c>
      <c r="AG54" s="62" t="str">
        <f t="shared" si="38"/>
        <v xml:space="preserve"> </v>
      </c>
      <c r="AH54" s="62">
        <f t="shared" si="56"/>
        <v>0</v>
      </c>
      <c r="AI54" s="62" t="str">
        <f t="shared" si="39"/>
        <v xml:space="preserve"> </v>
      </c>
      <c r="AJ54" s="60"/>
      <c r="AK54" s="62" t="str">
        <f t="shared" si="22"/>
        <v/>
      </c>
      <c r="AL54" s="62" t="str">
        <f t="shared" si="23"/>
        <v/>
      </c>
      <c r="AO54" s="62">
        <f t="shared" si="40"/>
        <v>0</v>
      </c>
      <c r="AP54" s="62">
        <f t="shared" si="41"/>
        <v>0</v>
      </c>
      <c r="AQ54" s="62">
        <f t="shared" si="41"/>
        <v>0</v>
      </c>
      <c r="AR54" s="60" t="str">
        <f t="shared" si="24"/>
        <v xml:space="preserve"> </v>
      </c>
    </row>
    <row r="55" spans="3:53" x14ac:dyDescent="0.3">
      <c r="C55" s="61" t="str">
        <f t="shared" si="26"/>
        <v/>
      </c>
      <c r="D55" s="62">
        <f t="shared" si="27"/>
        <v>0</v>
      </c>
      <c r="E55" s="63">
        <f t="shared" si="28"/>
        <v>0</v>
      </c>
      <c r="F55" s="62" t="str">
        <f t="shared" si="29"/>
        <v xml:space="preserve"> </v>
      </c>
      <c r="G55" s="62">
        <f t="shared" si="30"/>
        <v>0</v>
      </c>
      <c r="H55" s="62">
        <f t="shared" si="45"/>
        <v>0</v>
      </c>
      <c r="I55" s="62">
        <f t="shared" si="16"/>
        <v>0</v>
      </c>
      <c r="J55" s="62">
        <f t="shared" si="46"/>
        <v>0</v>
      </c>
      <c r="K55" s="62">
        <f t="shared" si="47"/>
        <v>0</v>
      </c>
      <c r="L55" s="62" t="str">
        <f t="shared" si="31"/>
        <v/>
      </c>
      <c r="M55" s="62">
        <f t="shared" si="48"/>
        <v>0</v>
      </c>
      <c r="O55" s="61" t="str">
        <f t="shared" si="49"/>
        <v/>
      </c>
      <c r="P55" s="62">
        <f t="shared" si="50"/>
        <v>0</v>
      </c>
      <c r="Q55" s="62" t="str">
        <f t="shared" si="32"/>
        <v xml:space="preserve"> </v>
      </c>
      <c r="R55" s="62">
        <f t="shared" si="33"/>
        <v>0</v>
      </c>
      <c r="S55" s="62">
        <f t="shared" si="51"/>
        <v>0</v>
      </c>
      <c r="T55" s="57">
        <f t="shared" si="19"/>
        <v>0</v>
      </c>
      <c r="U55" s="62">
        <f t="shared" si="34"/>
        <v>0</v>
      </c>
      <c r="V55" s="62">
        <f t="shared" si="20"/>
        <v>0</v>
      </c>
      <c r="W55" s="62">
        <f t="shared" si="52"/>
        <v>0</v>
      </c>
      <c r="X55" s="62" t="str">
        <f t="shared" si="35"/>
        <v/>
      </c>
      <c r="Y55" s="62">
        <f t="shared" si="53"/>
        <v>0</v>
      </c>
      <c r="Z55" s="62">
        <f t="shared" si="54"/>
        <v>0</v>
      </c>
      <c r="AA55" s="62">
        <f t="shared" si="36"/>
        <v>0</v>
      </c>
      <c r="AC55" s="64" t="str">
        <f t="shared" si="55"/>
        <v/>
      </c>
      <c r="AD55" s="62">
        <f t="shared" si="13"/>
        <v>0</v>
      </c>
      <c r="AE55" s="62" t="str">
        <f t="shared" si="37"/>
        <v xml:space="preserve"> </v>
      </c>
      <c r="AF55" s="62">
        <f t="shared" si="14"/>
        <v>0</v>
      </c>
      <c r="AG55" s="62" t="str">
        <f t="shared" si="38"/>
        <v xml:space="preserve"> </v>
      </c>
      <c r="AH55" s="62">
        <f t="shared" si="56"/>
        <v>0</v>
      </c>
      <c r="AI55" s="62" t="str">
        <f t="shared" si="39"/>
        <v xml:space="preserve"> </v>
      </c>
      <c r="AJ55" s="60"/>
      <c r="AK55" s="62" t="str">
        <f t="shared" si="22"/>
        <v/>
      </c>
      <c r="AL55" s="62" t="str">
        <f t="shared" si="23"/>
        <v/>
      </c>
      <c r="AO55" s="62">
        <f t="shared" si="40"/>
        <v>0</v>
      </c>
      <c r="AP55" s="62">
        <f t="shared" si="41"/>
        <v>0</v>
      </c>
      <c r="AQ55" s="62">
        <f t="shared" si="41"/>
        <v>0</v>
      </c>
      <c r="AR55" s="60" t="str">
        <f t="shared" si="24"/>
        <v xml:space="preserve"> </v>
      </c>
    </row>
    <row r="56" spans="3:53" x14ac:dyDescent="0.3">
      <c r="C56" s="61" t="str">
        <f t="shared" si="26"/>
        <v/>
      </c>
      <c r="D56" s="62">
        <f t="shared" si="27"/>
        <v>0</v>
      </c>
      <c r="E56" s="63">
        <f t="shared" si="28"/>
        <v>0</v>
      </c>
      <c r="F56" s="62" t="str">
        <f t="shared" si="29"/>
        <v xml:space="preserve"> </v>
      </c>
      <c r="G56" s="62">
        <f t="shared" si="30"/>
        <v>0</v>
      </c>
      <c r="H56" s="62">
        <f t="shared" si="45"/>
        <v>0</v>
      </c>
      <c r="I56" s="62">
        <f t="shared" si="16"/>
        <v>0</v>
      </c>
      <c r="J56" s="62">
        <f t="shared" si="46"/>
        <v>0</v>
      </c>
      <c r="K56" s="62">
        <f t="shared" si="47"/>
        <v>0</v>
      </c>
      <c r="L56" s="62" t="str">
        <f t="shared" si="31"/>
        <v/>
      </c>
      <c r="M56" s="62">
        <f t="shared" si="48"/>
        <v>0</v>
      </c>
      <c r="O56" s="61" t="str">
        <f t="shared" si="49"/>
        <v/>
      </c>
      <c r="P56" s="62">
        <f t="shared" si="50"/>
        <v>0</v>
      </c>
      <c r="Q56" s="62" t="str">
        <f t="shared" si="32"/>
        <v xml:space="preserve"> </v>
      </c>
      <c r="R56" s="62">
        <f t="shared" si="33"/>
        <v>0</v>
      </c>
      <c r="S56" s="62">
        <f t="shared" si="51"/>
        <v>0</v>
      </c>
      <c r="T56" s="57">
        <f t="shared" si="19"/>
        <v>0</v>
      </c>
      <c r="U56" s="62">
        <f t="shared" si="34"/>
        <v>0</v>
      </c>
      <c r="V56" s="62">
        <f t="shared" si="20"/>
        <v>0</v>
      </c>
      <c r="W56" s="62">
        <f t="shared" si="52"/>
        <v>0</v>
      </c>
      <c r="X56" s="62" t="str">
        <f t="shared" si="35"/>
        <v/>
      </c>
      <c r="Y56" s="62">
        <f t="shared" si="53"/>
        <v>0</v>
      </c>
      <c r="Z56" s="62">
        <f t="shared" si="54"/>
        <v>0</v>
      </c>
      <c r="AA56" s="62">
        <f t="shared" si="36"/>
        <v>0</v>
      </c>
      <c r="AC56" s="64" t="str">
        <f t="shared" si="55"/>
        <v/>
      </c>
      <c r="AD56" s="62">
        <f t="shared" si="13"/>
        <v>0</v>
      </c>
      <c r="AE56" s="62" t="str">
        <f t="shared" si="37"/>
        <v xml:space="preserve"> </v>
      </c>
      <c r="AF56" s="62">
        <f t="shared" si="14"/>
        <v>0</v>
      </c>
      <c r="AG56" s="62" t="str">
        <f t="shared" si="38"/>
        <v xml:space="preserve"> </v>
      </c>
      <c r="AH56" s="62">
        <f t="shared" si="56"/>
        <v>0</v>
      </c>
      <c r="AI56" s="62" t="str">
        <f t="shared" si="39"/>
        <v xml:space="preserve"> </v>
      </c>
      <c r="AJ56" s="60"/>
      <c r="AK56" s="62" t="str">
        <f t="shared" si="22"/>
        <v/>
      </c>
      <c r="AL56" s="62" t="str">
        <f t="shared" si="23"/>
        <v/>
      </c>
      <c r="AO56" s="62">
        <f t="shared" si="40"/>
        <v>0</v>
      </c>
      <c r="AP56" s="62">
        <f t="shared" si="41"/>
        <v>0</v>
      </c>
      <c r="AQ56" s="62">
        <f t="shared" si="41"/>
        <v>0</v>
      </c>
      <c r="AR56" s="60" t="str">
        <f t="shared" si="24"/>
        <v xml:space="preserve"> </v>
      </c>
    </row>
    <row r="57" spans="3:53" x14ac:dyDescent="0.3">
      <c r="C57" s="61" t="str">
        <f t="shared" si="26"/>
        <v/>
      </c>
      <c r="D57" s="62">
        <f t="shared" si="27"/>
        <v>0</v>
      </c>
      <c r="E57" s="63">
        <f t="shared" si="28"/>
        <v>0</v>
      </c>
      <c r="F57" s="62" t="str">
        <f t="shared" si="29"/>
        <v xml:space="preserve"> </v>
      </c>
      <c r="G57" s="62">
        <f t="shared" si="30"/>
        <v>0</v>
      </c>
      <c r="H57" s="62">
        <f>IF($A$2&gt;C57,$A$4,0)</f>
        <v>0</v>
      </c>
      <c r="I57" s="62">
        <f t="shared" si="16"/>
        <v>0</v>
      </c>
      <c r="J57" s="62">
        <f>MAX(D57,I57)</f>
        <v>0</v>
      </c>
      <c r="K57" s="62">
        <f>MIN(J57,F57)</f>
        <v>0</v>
      </c>
      <c r="L57" s="62" t="str">
        <f t="shared" si="31"/>
        <v/>
      </c>
      <c r="M57" s="62">
        <f>MAX(0,D57-K57)</f>
        <v>0</v>
      </c>
      <c r="O57" s="61" t="str">
        <f t="shared" si="49"/>
        <v/>
      </c>
      <c r="P57" s="62">
        <f t="shared" si="50"/>
        <v>0</v>
      </c>
      <c r="Q57" s="62" t="str">
        <f t="shared" si="32"/>
        <v xml:space="preserve"> </v>
      </c>
      <c r="R57" s="62">
        <f t="shared" si="33"/>
        <v>0</v>
      </c>
      <c r="S57" s="62">
        <f t="shared" si="51"/>
        <v>0</v>
      </c>
      <c r="T57" s="57">
        <f t="shared" si="19"/>
        <v>0</v>
      </c>
      <c r="U57" s="62">
        <f t="shared" si="34"/>
        <v>0</v>
      </c>
      <c r="V57" s="62">
        <f t="shared" si="20"/>
        <v>0</v>
      </c>
      <c r="W57" s="62">
        <f t="shared" si="52"/>
        <v>0</v>
      </c>
      <c r="X57" s="62" t="str">
        <f t="shared" si="35"/>
        <v/>
      </c>
      <c r="Y57" s="62">
        <f t="shared" si="53"/>
        <v>0</v>
      </c>
      <c r="Z57" s="62">
        <f t="shared" si="54"/>
        <v>0</v>
      </c>
      <c r="AA57" s="62">
        <f t="shared" si="36"/>
        <v>0</v>
      </c>
      <c r="AC57" s="64" t="str">
        <f t="shared" si="55"/>
        <v/>
      </c>
      <c r="AD57" s="62">
        <f t="shared" si="13"/>
        <v>0</v>
      </c>
      <c r="AE57" s="62" t="str">
        <f t="shared" si="37"/>
        <v xml:space="preserve"> </v>
      </c>
      <c r="AF57" s="62">
        <f t="shared" si="14"/>
        <v>0</v>
      </c>
      <c r="AG57" s="62" t="str">
        <f t="shared" si="38"/>
        <v xml:space="preserve"> </v>
      </c>
      <c r="AH57" s="62">
        <f t="shared" si="56"/>
        <v>0</v>
      </c>
      <c r="AI57" s="62" t="str">
        <f t="shared" si="39"/>
        <v xml:space="preserve"> </v>
      </c>
      <c r="AJ57" s="60"/>
      <c r="AK57" s="62" t="str">
        <f t="shared" si="22"/>
        <v/>
      </c>
      <c r="AL57" s="62" t="str">
        <f t="shared" si="23"/>
        <v/>
      </c>
      <c r="AO57" s="62">
        <f t="shared" si="40"/>
        <v>0</v>
      </c>
      <c r="AP57" s="62">
        <f t="shared" si="41"/>
        <v>0</v>
      </c>
      <c r="AQ57" s="62">
        <f t="shared" si="41"/>
        <v>0</v>
      </c>
      <c r="AR57" s="60" t="str">
        <f t="shared" si="24"/>
        <v xml:space="preserve"> </v>
      </c>
    </row>
  </sheetData>
  <sheetProtection algorithmName="SHA-512" hashValue="1Ev0MDX5sM10mHjNrd0fIB0zkGzVS4ewE2uktBOoYXI7QHWBK9SLlhjpIMye3ft5QP5UKraBMCO+mIP2hN2/SA==" saltValue="7dGjo1AY/NfYGqlP3lkOoQ==" spinCount="100000" sheet="1" objects="1" scenarios="1"/>
  <pageMargins left="0.7" right="0.7" top="0.75" bottom="0.75" header="0.3" footer="0.3"/>
  <pageSetup scale="93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Charts</vt:lpstr>
      <vt:lpstr>Tables</vt:lpstr>
      <vt:lpstr>Charts!Print_Area</vt:lpstr>
      <vt:lpstr>Tables!Print_Area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Cemil</dc:creator>
  <cp:lastModifiedBy>Jim C. Otar</cp:lastModifiedBy>
  <cp:lastPrinted>2024-01-04T20:41:19Z</cp:lastPrinted>
  <dcterms:created xsi:type="dcterms:W3CDTF">2020-02-01T21:18:43Z</dcterms:created>
  <dcterms:modified xsi:type="dcterms:W3CDTF">2024-02-18T01:35:09Z</dcterms:modified>
</cp:coreProperties>
</file>